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663" activeTab="0"/>
  </bookViews>
  <sheets>
    <sheet name="PLATA LIGADA" sheetId="1" r:id="rId1"/>
    <sheet name="MONEDAS ACUÑADAS" sheetId="2" r:id="rId2"/>
    <sheet name="OBSERVACIONES" sheetId="3" r:id="rId3"/>
    <sheet name="DAT. DISPONIBLES" sheetId="4" r:id="rId4"/>
  </sheets>
  <definedNames/>
  <calcPr fullCalcOnLoad="1"/>
</workbook>
</file>

<file path=xl/sharedStrings.xml><?xml version="1.0" encoding="utf-8"?>
<sst xmlns="http://schemas.openxmlformats.org/spreadsheetml/2006/main" count="1523" uniqueCount="53">
  <si>
    <t>AÑO</t>
  </si>
  <si>
    <t>MES</t>
  </si>
  <si>
    <t>PLATA</t>
  </si>
  <si>
    <t>LIGADA (Pzas)</t>
  </si>
  <si>
    <t xml:space="preserve">PLATA </t>
  </si>
  <si>
    <t>LIGADA (Mcos)</t>
  </si>
  <si>
    <t>ORO LIGADO</t>
  </si>
  <si>
    <t>(Mcos)</t>
  </si>
  <si>
    <t xml:space="preserve">AÑO </t>
  </si>
  <si>
    <t xml:space="preserve">PESOS </t>
  </si>
  <si>
    <t>ACUÑADOS</t>
  </si>
  <si>
    <t>PESETAS</t>
  </si>
  <si>
    <t>REALES</t>
  </si>
  <si>
    <t>MEDIOS</t>
  </si>
  <si>
    <t>TOSTONES</t>
  </si>
  <si>
    <t>CUARTILLAS</t>
  </si>
  <si>
    <t>ONZAS</t>
  </si>
  <si>
    <t>LABRADA (Pesos)</t>
  </si>
  <si>
    <t>TOTAL DE MONEDA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</si>
  <si>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</si>
  <si>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</si>
  <si>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</si>
  <si>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</si>
  <si>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</si>
  <si>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</si>
  <si>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</si>
  <si>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</si>
  <si>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</si>
  <si>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</si>
  <si>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</si>
  <si>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</si>
  <si>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TOTAL.</t>
  </si>
  <si>
    <t>-</t>
  </si>
  <si>
    <t>TOTAL</t>
  </si>
  <si>
    <t>ND</t>
  </si>
  <si>
    <t xml:space="preserve">ENERO </t>
  </si>
  <si>
    <t>LABRADA (Mcos)</t>
  </si>
  <si>
    <t>(Pesos)</t>
  </si>
  <si>
    <t xml:space="preserve">ORO </t>
  </si>
  <si>
    <t>LIGADO</t>
  </si>
  <si>
    <t xml:space="preserve">LIGADA </t>
  </si>
  <si>
    <t>X</t>
  </si>
  <si>
    <t>OBSERVACIONES</t>
  </si>
  <si>
    <t>con la suma de los pesos, reales y medios acuñados.</t>
  </si>
  <si>
    <t xml:space="preserve">En este año el total de moneda labrada no coincide </t>
  </si>
  <si>
    <t xml:space="preserve">En este año, la suma del total de moneda labrada del libro diario difiere de la suma de </t>
  </si>
  <si>
    <t>la serie por 4 pesos a favor del libro por omiciòn de los reales y los granos.</t>
  </si>
  <si>
    <t xml:space="preserve">En este año,  el total de plata labrada tanto en pesos, como en marcos, de la serie no coincide </t>
  </si>
  <si>
    <t>con la del libro, siendo 5 pesos mayor para los pesos y 108 mayor para los marcos.</t>
  </si>
  <si>
    <t>(Existencias)</t>
  </si>
  <si>
    <t>(Entradas)</t>
  </si>
  <si>
    <t xml:space="preserve">TOTAL DE MONEDA </t>
  </si>
  <si>
    <t>Para este año no se cuenta con las existencias del año anterior.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</si>
</sst>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9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3" width="13.8515625" style="1" customWidth="1"/>
    <col min="4" max="4" width="14.8515625" style="1" customWidth="1"/>
    <col min="5" max="5" width="15.57421875" style="1" customWidth="1"/>
    <col min="6" max="7" width="13.7109375" style="1" customWidth="1"/>
    <col min="8" max="8" width="18.8515625" style="1" customWidth="1"/>
    <col min="9" max="16384" width="11.421875" style="1" customWidth="1"/>
  </cols>
  <sheetData>
    <row r="1" ht="13.5" thickBot="1"/>
    <row r="2" spans="2:8" ht="12.75">
      <c r="B2" s="4" t="s">
        <v>0</v>
      </c>
      <c r="C2" s="2" t="s">
        <v>1</v>
      </c>
      <c r="D2" s="3" t="s">
        <v>2</v>
      </c>
      <c r="E2" s="2" t="s">
        <v>4</v>
      </c>
      <c r="F2" s="3" t="s">
        <v>6</v>
      </c>
      <c r="G2" s="2" t="s">
        <v>6</v>
      </c>
      <c r="H2" s="2" t="s">
        <v>42</v>
      </c>
    </row>
    <row r="3" spans="2:8" ht="13.5" thickBot="1">
      <c r="B3" s="9"/>
      <c r="C3" s="7"/>
      <c r="D3" s="8" t="s">
        <v>3</v>
      </c>
      <c r="E3" s="7" t="s">
        <v>5</v>
      </c>
      <c r="F3" s="8"/>
      <c r="G3" s="7" t="s">
        <v>7</v>
      </c>
      <c r="H3" s="6"/>
    </row>
    <row r="4" ht="13.5" thickBot="1"/>
    <row r="5" spans="2:7" ht="12.75">
      <c r="B5" s="32">
        <v>1822</v>
      </c>
      <c r="C5" s="4" t="s">
        <v>19</v>
      </c>
      <c r="D5" s="2">
        <v>76</v>
      </c>
      <c r="E5" s="3">
        <v>11294</v>
      </c>
      <c r="F5" s="2" t="s">
        <v>32</v>
      </c>
      <c r="G5" s="5" t="s">
        <v>32</v>
      </c>
    </row>
    <row r="6" spans="2:7" ht="12.75">
      <c r="B6" s="33"/>
      <c r="C6" s="34" t="s">
        <v>20</v>
      </c>
      <c r="D6" s="35">
        <f>109-D5</f>
        <v>33</v>
      </c>
      <c r="E6" s="36">
        <f>16061-E5</f>
        <v>4767</v>
      </c>
      <c r="F6" s="35" t="s">
        <v>32</v>
      </c>
      <c r="G6" s="37" t="s">
        <v>32</v>
      </c>
    </row>
    <row r="7" spans="2:7" ht="12.75">
      <c r="B7" s="33"/>
      <c r="C7" s="34" t="s">
        <v>21</v>
      </c>
      <c r="D7" s="35">
        <f>160-109</f>
        <v>51</v>
      </c>
      <c r="E7" s="36">
        <f>23524-16061</f>
        <v>7463</v>
      </c>
      <c r="F7" s="35" t="s">
        <v>32</v>
      </c>
      <c r="G7" s="37" t="s">
        <v>32</v>
      </c>
    </row>
    <row r="8" spans="2:7" ht="12.75">
      <c r="B8" s="33"/>
      <c r="C8" s="34" t="s">
        <v>22</v>
      </c>
      <c r="D8" s="35">
        <f>277-160</f>
        <v>117</v>
      </c>
      <c r="E8" s="36">
        <f>40676-23524</f>
        <v>17152</v>
      </c>
      <c r="F8" s="35" t="s">
        <v>32</v>
      </c>
      <c r="G8" s="37" t="s">
        <v>32</v>
      </c>
    </row>
    <row r="9" spans="2:7" ht="12.75">
      <c r="B9" s="33"/>
      <c r="C9" s="34" t="s">
        <v>23</v>
      </c>
      <c r="D9" s="35">
        <f>377-277</f>
        <v>100</v>
      </c>
      <c r="E9" s="36">
        <f>54707-40676</f>
        <v>14031</v>
      </c>
      <c r="F9" s="35" t="s">
        <v>32</v>
      </c>
      <c r="G9" s="37" t="s">
        <v>32</v>
      </c>
    </row>
    <row r="10" spans="2:7" ht="12.75">
      <c r="B10" s="33"/>
      <c r="C10" s="34" t="s">
        <v>24</v>
      </c>
      <c r="D10" s="35">
        <f>425-377</f>
        <v>48</v>
      </c>
      <c r="E10" s="36">
        <f>61378-54707</f>
        <v>6671</v>
      </c>
      <c r="F10" s="35" t="s">
        <v>32</v>
      </c>
      <c r="G10" s="37" t="s">
        <v>32</v>
      </c>
    </row>
    <row r="11" spans="2:7" ht="12.75">
      <c r="B11" s="33"/>
      <c r="C11" s="34" t="s">
        <v>25</v>
      </c>
      <c r="D11" s="35">
        <f>445-425</f>
        <v>20</v>
      </c>
      <c r="E11" s="36">
        <f>64320-61378</f>
        <v>2942</v>
      </c>
      <c r="F11" s="35" t="s">
        <v>32</v>
      </c>
      <c r="G11" s="37" t="s">
        <v>32</v>
      </c>
    </row>
    <row r="12" spans="2:7" ht="12.75">
      <c r="B12" s="33"/>
      <c r="C12" s="34" t="s">
        <v>26</v>
      </c>
      <c r="D12" s="35">
        <f>507-445</f>
        <v>62</v>
      </c>
      <c r="E12" s="36">
        <f>73138-64320</f>
        <v>8818</v>
      </c>
      <c r="F12" s="35" t="s">
        <v>32</v>
      </c>
      <c r="G12" s="37" t="s">
        <v>32</v>
      </c>
    </row>
    <row r="13" spans="2:7" ht="12.75">
      <c r="B13" s="33"/>
      <c r="C13" s="34" t="s">
        <v>27</v>
      </c>
      <c r="D13" s="35">
        <f>621-507</f>
        <v>114</v>
      </c>
      <c r="E13" s="36">
        <f>90247-73138</f>
        <v>17109</v>
      </c>
      <c r="F13" s="35" t="s">
        <v>32</v>
      </c>
      <c r="G13" s="37" t="s">
        <v>32</v>
      </c>
    </row>
    <row r="14" spans="2:7" ht="12.75">
      <c r="B14" s="33"/>
      <c r="C14" s="34" t="s">
        <v>28</v>
      </c>
      <c r="D14" s="35">
        <f>678-621</f>
        <v>57</v>
      </c>
      <c r="E14" s="36">
        <f>98412-90247</f>
        <v>8165</v>
      </c>
      <c r="F14" s="35" t="s">
        <v>32</v>
      </c>
      <c r="G14" s="37" t="s">
        <v>32</v>
      </c>
    </row>
    <row r="15" spans="2:7" ht="12.75">
      <c r="B15" s="33"/>
      <c r="C15" s="34" t="s">
        <v>29</v>
      </c>
      <c r="D15" s="35">
        <f>725-678</f>
        <v>47</v>
      </c>
      <c r="E15" s="36">
        <f>105217-98412</f>
        <v>6805</v>
      </c>
      <c r="F15" s="35" t="s">
        <v>32</v>
      </c>
      <c r="G15" s="37" t="s">
        <v>32</v>
      </c>
    </row>
    <row r="16" spans="2:7" ht="13.5" thickBot="1">
      <c r="B16" s="33"/>
      <c r="C16" s="34" t="s">
        <v>30</v>
      </c>
      <c r="D16" s="35">
        <f>763-725</f>
        <v>38</v>
      </c>
      <c r="E16" s="36">
        <f>110240-105217</f>
        <v>5023</v>
      </c>
      <c r="F16" s="35" t="s">
        <v>32</v>
      </c>
      <c r="G16" s="37" t="s">
        <v>32</v>
      </c>
    </row>
    <row r="17" spans="2:7" ht="13.5" thickBot="1">
      <c r="B17" s="33"/>
      <c r="C17" s="38" t="s">
        <v>31</v>
      </c>
      <c r="D17" s="39">
        <v>763</v>
      </c>
      <c r="E17" s="40">
        <v>110240</v>
      </c>
      <c r="F17" s="39" t="s">
        <v>32</v>
      </c>
      <c r="G17" s="41" t="s">
        <v>32</v>
      </c>
    </row>
    <row r="18" ht="13.5" thickBot="1"/>
    <row r="19" spans="2:7" ht="12.75">
      <c r="B19" s="12">
        <v>1837</v>
      </c>
      <c r="C19" s="4" t="s">
        <v>19</v>
      </c>
      <c r="D19" s="2" t="s">
        <v>34</v>
      </c>
      <c r="E19" s="3" t="s">
        <v>34</v>
      </c>
      <c r="F19" s="2" t="s">
        <v>34</v>
      </c>
      <c r="G19" s="5" t="s">
        <v>34</v>
      </c>
    </row>
    <row r="20" spans="2:7" ht="12.75">
      <c r="B20" s="34"/>
      <c r="C20" s="34" t="s">
        <v>20</v>
      </c>
      <c r="D20" s="35" t="s">
        <v>34</v>
      </c>
      <c r="E20" s="36" t="s">
        <v>34</v>
      </c>
      <c r="F20" s="35" t="s">
        <v>34</v>
      </c>
      <c r="G20" s="37" t="s">
        <v>34</v>
      </c>
    </row>
    <row r="21" spans="2:7" ht="12.75">
      <c r="B21" s="34"/>
      <c r="C21" s="34" t="s">
        <v>21</v>
      </c>
      <c r="D21" s="35" t="s">
        <v>34</v>
      </c>
      <c r="E21" s="36" t="s">
        <v>34</v>
      </c>
      <c r="F21" s="35" t="s">
        <v>34</v>
      </c>
      <c r="G21" s="37" t="s">
        <v>34</v>
      </c>
    </row>
    <row r="22" spans="2:7" ht="12.75">
      <c r="B22" s="34"/>
      <c r="C22" s="34" t="s">
        <v>22</v>
      </c>
      <c r="D22" s="35" t="s">
        <v>34</v>
      </c>
      <c r="E22" s="36" t="s">
        <v>34</v>
      </c>
      <c r="F22" s="35" t="s">
        <v>34</v>
      </c>
      <c r="G22" s="37" t="s">
        <v>34</v>
      </c>
    </row>
    <row r="23" spans="2:7" ht="12.75">
      <c r="B23" s="34"/>
      <c r="C23" s="34" t="s">
        <v>23</v>
      </c>
      <c r="D23" s="35" t="s">
        <v>34</v>
      </c>
      <c r="E23" s="36" t="s">
        <v>34</v>
      </c>
      <c r="F23" s="35" t="s">
        <v>34</v>
      </c>
      <c r="G23" s="37" t="s">
        <v>34</v>
      </c>
    </row>
    <row r="24" spans="2:7" ht="12.75">
      <c r="B24" s="34"/>
      <c r="C24" s="34" t="s">
        <v>24</v>
      </c>
      <c r="D24" s="35" t="s">
        <v>34</v>
      </c>
      <c r="E24" s="36" t="s">
        <v>34</v>
      </c>
      <c r="F24" s="35" t="s">
        <v>34</v>
      </c>
      <c r="G24" s="37" t="s">
        <v>34</v>
      </c>
    </row>
    <row r="25" spans="2:7" ht="12.75">
      <c r="B25" s="34"/>
      <c r="C25" s="34" t="s">
        <v>25</v>
      </c>
      <c r="D25" s="35">
        <v>70</v>
      </c>
      <c r="E25" s="36">
        <v>13558</v>
      </c>
      <c r="F25" s="35" t="s">
        <v>32</v>
      </c>
      <c r="G25" s="37" t="s">
        <v>32</v>
      </c>
    </row>
    <row r="26" spans="2:7" ht="12.75">
      <c r="B26" s="34"/>
      <c r="C26" s="34" t="s">
        <v>26</v>
      </c>
      <c r="D26" s="35">
        <f>98-70</f>
        <v>28</v>
      </c>
      <c r="E26" s="36">
        <f>17139-E25</f>
        <v>3581</v>
      </c>
      <c r="F26" s="35" t="s">
        <v>32</v>
      </c>
      <c r="G26" s="37" t="s">
        <v>32</v>
      </c>
    </row>
    <row r="27" spans="2:7" ht="12.75">
      <c r="B27" s="34"/>
      <c r="C27" s="34" t="s">
        <v>27</v>
      </c>
      <c r="D27" s="35">
        <f>113-98</f>
        <v>15</v>
      </c>
      <c r="E27" s="36">
        <f>18701-17139</f>
        <v>1562</v>
      </c>
      <c r="F27" s="35">
        <v>4</v>
      </c>
      <c r="G27" s="37">
        <v>38</v>
      </c>
    </row>
    <row r="28" spans="2:7" ht="12.75">
      <c r="B28" s="34"/>
      <c r="C28" s="34" t="s">
        <v>28</v>
      </c>
      <c r="D28" s="35">
        <f>188-113</f>
        <v>75</v>
      </c>
      <c r="E28" s="36">
        <f>29089-18701</f>
        <v>10388</v>
      </c>
      <c r="F28" s="35">
        <v>2</v>
      </c>
      <c r="G28" s="37">
        <v>12</v>
      </c>
    </row>
    <row r="29" spans="2:7" ht="12.75">
      <c r="B29" s="34"/>
      <c r="C29" s="34" t="s">
        <v>29</v>
      </c>
      <c r="D29" s="35">
        <f>213-188</f>
        <v>25</v>
      </c>
      <c r="E29" s="36">
        <f>32085-29089</f>
        <v>2996</v>
      </c>
      <c r="F29" s="35" t="s">
        <v>32</v>
      </c>
      <c r="G29" s="37" t="s">
        <v>32</v>
      </c>
    </row>
    <row r="30" spans="2:7" ht="13.5" thickBot="1">
      <c r="B30" s="9"/>
      <c r="C30" s="34" t="s">
        <v>30</v>
      </c>
      <c r="D30" s="35">
        <f>245-213</f>
        <v>32</v>
      </c>
      <c r="E30" s="36">
        <f>36332-32085</f>
        <v>4247</v>
      </c>
      <c r="F30" s="35" t="s">
        <v>32</v>
      </c>
      <c r="G30" s="37" t="s">
        <v>32</v>
      </c>
    </row>
    <row r="31" spans="3:7" ht="13.5" thickBot="1">
      <c r="C31" s="42" t="s">
        <v>33</v>
      </c>
      <c r="D31" s="43" t="s">
        <v>34</v>
      </c>
      <c r="E31" s="44" t="s">
        <v>34</v>
      </c>
      <c r="F31" s="43" t="s">
        <v>34</v>
      </c>
      <c r="G31" s="45" t="s">
        <v>34</v>
      </c>
    </row>
    <row r="32" ht="13.5" thickBot="1"/>
    <row r="33" spans="2:7" ht="12.75">
      <c r="B33" s="12">
        <v>1838</v>
      </c>
      <c r="C33" s="4" t="s">
        <v>19</v>
      </c>
      <c r="D33" s="2">
        <f>278-245</f>
        <v>33</v>
      </c>
      <c r="E33" s="3">
        <f>40173-36332</f>
        <v>3841</v>
      </c>
      <c r="F33" s="2" t="s">
        <v>32</v>
      </c>
      <c r="G33" s="5" t="s">
        <v>32</v>
      </c>
    </row>
    <row r="34" spans="2:7" ht="12.75">
      <c r="B34" s="34"/>
      <c r="C34" s="34" t="s">
        <v>20</v>
      </c>
      <c r="D34" s="35">
        <f>300-278</f>
        <v>22</v>
      </c>
      <c r="E34" s="36">
        <f>42248-40173</f>
        <v>2075</v>
      </c>
      <c r="F34" s="35" t="s">
        <v>32</v>
      </c>
      <c r="G34" s="37" t="s">
        <v>32</v>
      </c>
    </row>
    <row r="35" spans="2:7" ht="12.75">
      <c r="B35" s="34"/>
      <c r="C35" s="34" t="s">
        <v>21</v>
      </c>
      <c r="D35" s="35">
        <f>375-300</f>
        <v>75</v>
      </c>
      <c r="E35" s="36">
        <f>52750-42248</f>
        <v>10502</v>
      </c>
      <c r="F35" s="35" t="s">
        <v>32</v>
      </c>
      <c r="G35" s="37" t="s">
        <v>32</v>
      </c>
    </row>
    <row r="36" spans="2:7" ht="12.75">
      <c r="B36" s="34"/>
      <c r="C36" s="34" t="s">
        <v>22</v>
      </c>
      <c r="D36" s="35">
        <f>397-375</f>
        <v>22</v>
      </c>
      <c r="E36" s="36">
        <f>55193-52750</f>
        <v>2443</v>
      </c>
      <c r="F36" s="35" t="s">
        <v>32</v>
      </c>
      <c r="G36" s="37" t="s">
        <v>32</v>
      </c>
    </row>
    <row r="37" spans="2:7" ht="12.75">
      <c r="B37" s="34"/>
      <c r="C37" s="34" t="s">
        <v>23</v>
      </c>
      <c r="D37" s="35">
        <f>442-397</f>
        <v>45</v>
      </c>
      <c r="E37" s="36">
        <f>61453-55193</f>
        <v>6260</v>
      </c>
      <c r="F37" s="35" t="s">
        <v>32</v>
      </c>
      <c r="G37" s="37" t="s">
        <v>32</v>
      </c>
    </row>
    <row r="38" spans="2:7" ht="12.75">
      <c r="B38" s="34"/>
      <c r="C38" s="34" t="s">
        <v>24</v>
      </c>
      <c r="D38" s="35">
        <f>515-442</f>
        <v>73</v>
      </c>
      <c r="E38" s="36">
        <f>71685-61453</f>
        <v>10232</v>
      </c>
      <c r="F38" s="35" t="s">
        <v>32</v>
      </c>
      <c r="G38" s="37" t="s">
        <v>32</v>
      </c>
    </row>
    <row r="39" spans="2:7" ht="12.75">
      <c r="B39" s="34"/>
      <c r="C39" s="34" t="s">
        <v>25</v>
      </c>
      <c r="D39" s="35">
        <f>528-515</f>
        <v>13</v>
      </c>
      <c r="E39" s="36">
        <f>73334-71685</f>
        <v>1649</v>
      </c>
      <c r="F39" s="35" t="s">
        <v>32</v>
      </c>
      <c r="G39" s="37" t="s">
        <v>32</v>
      </c>
    </row>
    <row r="40" spans="2:7" ht="12.75">
      <c r="B40" s="34"/>
      <c r="C40" s="34" t="s">
        <v>26</v>
      </c>
      <c r="D40" s="35">
        <f>600-528</f>
        <v>72</v>
      </c>
      <c r="E40" s="36">
        <f>83440-73334</f>
        <v>10106</v>
      </c>
      <c r="F40" s="35" t="s">
        <v>32</v>
      </c>
      <c r="G40" s="37" t="s">
        <v>32</v>
      </c>
    </row>
    <row r="41" spans="2:7" ht="12.75">
      <c r="B41" s="34"/>
      <c r="C41" s="34" t="s">
        <v>27</v>
      </c>
      <c r="D41" s="35">
        <f>633-600</f>
        <v>33</v>
      </c>
      <c r="E41" s="36">
        <f>88257-83440</f>
        <v>4817</v>
      </c>
      <c r="F41" s="35" t="s">
        <v>32</v>
      </c>
      <c r="G41" s="37" t="s">
        <v>32</v>
      </c>
    </row>
    <row r="42" spans="2:7" ht="12.75">
      <c r="B42" s="34"/>
      <c r="C42" s="34" t="s">
        <v>28</v>
      </c>
      <c r="D42" s="35">
        <f>656-633</f>
        <v>23</v>
      </c>
      <c r="E42" s="36">
        <f>91207-88297</f>
        <v>2910</v>
      </c>
      <c r="F42" s="35" t="s">
        <v>32</v>
      </c>
      <c r="G42" s="37" t="s">
        <v>32</v>
      </c>
    </row>
    <row r="43" spans="2:7" ht="12.75">
      <c r="B43" s="34"/>
      <c r="C43" s="34" t="s">
        <v>29</v>
      </c>
      <c r="D43" s="35">
        <f>712-656</f>
        <v>56</v>
      </c>
      <c r="E43" s="36">
        <f>99281-91207</f>
        <v>8074</v>
      </c>
      <c r="F43" s="35" t="s">
        <v>32</v>
      </c>
      <c r="G43" s="37" t="s">
        <v>32</v>
      </c>
    </row>
    <row r="44" spans="2:7" ht="13.5" thickBot="1">
      <c r="B44" s="9"/>
      <c r="C44" s="34" t="s">
        <v>30</v>
      </c>
      <c r="D44" s="35">
        <f>722-712</f>
        <v>10</v>
      </c>
      <c r="E44" s="36">
        <f>100651-99281</f>
        <v>1370</v>
      </c>
      <c r="F44" s="35" t="s">
        <v>32</v>
      </c>
      <c r="G44" s="37" t="s">
        <v>32</v>
      </c>
    </row>
    <row r="45" spans="2:7" ht="13.5" thickBot="1">
      <c r="B45" s="33"/>
      <c r="C45" s="42" t="s">
        <v>33</v>
      </c>
      <c r="D45" s="43">
        <v>477</v>
      </c>
      <c r="E45" s="44">
        <v>64279</v>
      </c>
      <c r="F45" s="43" t="s">
        <v>32</v>
      </c>
      <c r="G45" s="45" t="s">
        <v>32</v>
      </c>
    </row>
    <row r="46" ht="13.5" thickBot="1"/>
    <row r="47" spans="2:8" ht="12.75">
      <c r="B47" s="4" t="s">
        <v>0</v>
      </c>
      <c r="C47" s="2" t="s">
        <v>1</v>
      </c>
      <c r="D47" s="3" t="s">
        <v>2</v>
      </c>
      <c r="E47" s="2" t="s">
        <v>4</v>
      </c>
      <c r="F47" s="3" t="s">
        <v>6</v>
      </c>
      <c r="G47" s="2" t="s">
        <v>6</v>
      </c>
      <c r="H47" s="2" t="s">
        <v>42</v>
      </c>
    </row>
    <row r="48" spans="2:8" ht="13.5" thickBot="1">
      <c r="B48" s="9"/>
      <c r="C48" s="7"/>
      <c r="D48" s="8" t="s">
        <v>3</v>
      </c>
      <c r="E48" s="7" t="s">
        <v>5</v>
      </c>
      <c r="F48" s="8"/>
      <c r="G48" s="7" t="s">
        <v>7</v>
      </c>
      <c r="H48" s="6"/>
    </row>
    <row r="49" ht="13.5" thickBot="1"/>
    <row r="50" spans="2:8" ht="13.5" thickBot="1">
      <c r="B50" s="12">
        <v>1839</v>
      </c>
      <c r="C50" s="4" t="s">
        <v>19</v>
      </c>
      <c r="D50" s="2">
        <v>29</v>
      </c>
      <c r="E50" s="3">
        <v>4506</v>
      </c>
      <c r="F50" s="2">
        <v>8</v>
      </c>
      <c r="G50" s="5">
        <v>36</v>
      </c>
      <c r="H50" s="43">
        <v>1</v>
      </c>
    </row>
    <row r="51" spans="2:8" ht="13.5" thickBot="1">
      <c r="B51" s="34"/>
      <c r="C51" s="34" t="s">
        <v>20</v>
      </c>
      <c r="D51" s="35">
        <v>16</v>
      </c>
      <c r="E51" s="36">
        <f>6790-E50</f>
        <v>2284</v>
      </c>
      <c r="F51" s="35" t="s">
        <v>32</v>
      </c>
      <c r="G51" s="37" t="s">
        <v>32</v>
      </c>
      <c r="H51" s="43">
        <v>4</v>
      </c>
    </row>
    <row r="52" spans="2:7" ht="12.75">
      <c r="B52" s="34"/>
      <c r="C52" s="34" t="s">
        <v>21</v>
      </c>
      <c r="D52" s="35">
        <f>130-45</f>
        <v>85</v>
      </c>
      <c r="E52" s="36">
        <f>19316-6790</f>
        <v>12526</v>
      </c>
      <c r="F52" s="35" t="s">
        <v>32</v>
      </c>
      <c r="G52" s="37" t="s">
        <v>32</v>
      </c>
    </row>
    <row r="53" spans="2:7" ht="12.75">
      <c r="B53" s="34"/>
      <c r="C53" s="34" t="s">
        <v>22</v>
      </c>
      <c r="D53" s="35">
        <f>156-130</f>
        <v>26</v>
      </c>
      <c r="E53" s="36">
        <f>22659-19316</f>
        <v>3343</v>
      </c>
      <c r="F53" s="35" t="s">
        <v>32</v>
      </c>
      <c r="G53" s="37" t="s">
        <v>32</v>
      </c>
    </row>
    <row r="54" spans="2:7" ht="12.75">
      <c r="B54" s="34"/>
      <c r="C54" s="34" t="s">
        <v>23</v>
      </c>
      <c r="D54" s="35">
        <f>193-156</f>
        <v>37</v>
      </c>
      <c r="E54" s="36">
        <f>27871-22659</f>
        <v>5212</v>
      </c>
      <c r="F54" s="35" t="s">
        <v>32</v>
      </c>
      <c r="G54" s="37" t="s">
        <v>32</v>
      </c>
    </row>
    <row r="55" spans="2:7" ht="12.75">
      <c r="B55" s="34"/>
      <c r="C55" s="34" t="s">
        <v>24</v>
      </c>
      <c r="D55" s="35">
        <f>235-193</f>
        <v>42</v>
      </c>
      <c r="E55" s="36">
        <f>33663-27871</f>
        <v>5792</v>
      </c>
      <c r="F55" s="35" t="s">
        <v>32</v>
      </c>
      <c r="G55" s="37" t="s">
        <v>32</v>
      </c>
    </row>
    <row r="56" spans="2:7" ht="12.75">
      <c r="B56" s="34"/>
      <c r="C56" s="34" t="s">
        <v>25</v>
      </c>
      <c r="D56" s="35">
        <f>291-235</f>
        <v>56</v>
      </c>
      <c r="E56" s="36">
        <f>41130-33663</f>
        <v>7467</v>
      </c>
      <c r="F56" s="35" t="s">
        <v>32</v>
      </c>
      <c r="G56" s="37" t="s">
        <v>32</v>
      </c>
    </row>
    <row r="57" spans="2:7" ht="12.75">
      <c r="B57" s="34"/>
      <c r="C57" s="34" t="s">
        <v>26</v>
      </c>
      <c r="D57" s="35">
        <f>302-291</f>
        <v>11</v>
      </c>
      <c r="E57" s="36">
        <f>42689-41130</f>
        <v>1559</v>
      </c>
      <c r="F57" s="35" t="s">
        <v>32</v>
      </c>
      <c r="G57" s="37" t="s">
        <v>32</v>
      </c>
    </row>
    <row r="58" spans="2:7" ht="12.75">
      <c r="B58" s="34"/>
      <c r="C58" s="34" t="s">
        <v>27</v>
      </c>
      <c r="D58" s="35">
        <f>364-302</f>
        <v>62</v>
      </c>
      <c r="E58" s="36">
        <f>51327-42689</f>
        <v>8638</v>
      </c>
      <c r="F58" s="35" t="s">
        <v>32</v>
      </c>
      <c r="G58" s="37" t="s">
        <v>32</v>
      </c>
    </row>
    <row r="59" spans="2:7" ht="12.75">
      <c r="B59" s="34"/>
      <c r="C59" s="34" t="s">
        <v>28</v>
      </c>
      <c r="D59" s="35">
        <f>413-364</f>
        <v>49</v>
      </c>
      <c r="E59" s="36">
        <f>58688-51327</f>
        <v>7361</v>
      </c>
      <c r="F59" s="35" t="s">
        <v>32</v>
      </c>
      <c r="G59" s="37" t="s">
        <v>32</v>
      </c>
    </row>
    <row r="60" spans="2:7" ht="12.75">
      <c r="B60" s="34"/>
      <c r="C60" s="34" t="s">
        <v>29</v>
      </c>
      <c r="D60" s="35">
        <f>441-413</f>
        <v>28</v>
      </c>
      <c r="E60" s="36">
        <f>62770-58688</f>
        <v>4082</v>
      </c>
      <c r="F60" s="35" t="s">
        <v>32</v>
      </c>
      <c r="G60" s="37" t="s">
        <v>32</v>
      </c>
    </row>
    <row r="61" spans="2:7" ht="13.5" thickBot="1">
      <c r="B61" s="9"/>
      <c r="C61" s="34" t="s">
        <v>30</v>
      </c>
      <c r="D61" s="35">
        <f>506-441</f>
        <v>65</v>
      </c>
      <c r="E61" s="36">
        <f>72029-62770</f>
        <v>9259</v>
      </c>
      <c r="F61" s="35" t="s">
        <v>32</v>
      </c>
      <c r="G61" s="37" t="s">
        <v>32</v>
      </c>
    </row>
    <row r="62" spans="2:7" ht="13.5" thickBot="1">
      <c r="B62" s="33"/>
      <c r="C62" s="38" t="s">
        <v>33</v>
      </c>
      <c r="D62" s="39">
        <v>506</v>
      </c>
      <c r="E62" s="40">
        <v>72029</v>
      </c>
      <c r="F62" s="39">
        <v>8</v>
      </c>
      <c r="G62" s="41">
        <v>36</v>
      </c>
    </row>
    <row r="63" ht="13.5" thickBot="1"/>
    <row r="64" spans="2:7" ht="12.75">
      <c r="B64" s="12">
        <v>1840</v>
      </c>
      <c r="C64" s="4" t="s">
        <v>35</v>
      </c>
      <c r="D64" s="2">
        <v>60</v>
      </c>
      <c r="E64" s="3">
        <v>10470</v>
      </c>
      <c r="F64" s="2">
        <v>5</v>
      </c>
      <c r="G64" s="5">
        <v>45</v>
      </c>
    </row>
    <row r="65" spans="2:7" ht="12.75">
      <c r="B65" s="34"/>
      <c r="C65" s="34" t="s">
        <v>20</v>
      </c>
      <c r="D65" s="35">
        <f>74-D64</f>
        <v>14</v>
      </c>
      <c r="E65" s="36">
        <f>12037-E64</f>
        <v>1567</v>
      </c>
      <c r="F65" s="35"/>
      <c r="G65" s="37"/>
    </row>
    <row r="66" spans="2:7" ht="12.75">
      <c r="B66" s="34"/>
      <c r="C66" s="34" t="s">
        <v>21</v>
      </c>
      <c r="D66" s="35">
        <f>154-74</f>
        <v>80</v>
      </c>
      <c r="E66" s="36">
        <f>23660-12037</f>
        <v>11623</v>
      </c>
      <c r="F66" s="35"/>
      <c r="G66" s="37"/>
    </row>
    <row r="67" spans="2:7" ht="12.75">
      <c r="B67" s="34"/>
      <c r="C67" s="34" t="s">
        <v>22</v>
      </c>
      <c r="D67" s="35">
        <f>245-154</f>
        <v>91</v>
      </c>
      <c r="E67" s="36">
        <f>37091-23660</f>
        <v>13431</v>
      </c>
      <c r="F67" s="35">
        <v>3</v>
      </c>
      <c r="G67" s="37">
        <v>13</v>
      </c>
    </row>
    <row r="68" spans="2:7" ht="12.75">
      <c r="B68" s="34"/>
      <c r="C68" s="34" t="s">
        <v>23</v>
      </c>
      <c r="D68" s="35">
        <f>278-245</f>
        <v>33</v>
      </c>
      <c r="E68" s="36">
        <f>41896-37091</f>
        <v>4805</v>
      </c>
      <c r="F68" s="35">
        <v>2</v>
      </c>
      <c r="G68" s="37">
        <v>3</v>
      </c>
    </row>
    <row r="69" spans="2:7" ht="12.75">
      <c r="B69" s="34"/>
      <c r="C69" s="34" t="s">
        <v>24</v>
      </c>
      <c r="D69" s="35">
        <f>357-278</f>
        <v>79</v>
      </c>
      <c r="E69" s="36">
        <f>54733-41896</f>
        <v>12837</v>
      </c>
      <c r="F69" s="35"/>
      <c r="G69" s="37"/>
    </row>
    <row r="70" spans="2:7" ht="12.75">
      <c r="B70" s="34"/>
      <c r="C70" s="34" t="s">
        <v>25</v>
      </c>
      <c r="D70" s="35">
        <f>409-357</f>
        <v>52</v>
      </c>
      <c r="E70" s="36">
        <f>62075-54733</f>
        <v>7342</v>
      </c>
      <c r="F70" s="35"/>
      <c r="G70" s="37"/>
    </row>
    <row r="71" spans="2:7" ht="12.75">
      <c r="B71" s="34"/>
      <c r="C71" s="34" t="s">
        <v>26</v>
      </c>
      <c r="D71" s="35">
        <f>472-409</f>
        <v>63</v>
      </c>
      <c r="E71" s="36">
        <f>70632-62075</f>
        <v>8557</v>
      </c>
      <c r="F71" s="35">
        <v>2</v>
      </c>
      <c r="G71" s="37">
        <v>11</v>
      </c>
    </row>
    <row r="72" spans="2:7" ht="12.75">
      <c r="B72" s="34"/>
      <c r="C72" s="34" t="s">
        <v>27</v>
      </c>
      <c r="D72" s="35">
        <f>535-472</f>
        <v>63</v>
      </c>
      <c r="E72" s="36">
        <f>79127-70632</f>
        <v>8495</v>
      </c>
      <c r="F72" s="35"/>
      <c r="G72" s="37"/>
    </row>
    <row r="73" spans="2:7" ht="12.75">
      <c r="B73" s="34"/>
      <c r="C73" s="34" t="s">
        <v>28</v>
      </c>
      <c r="D73" s="35">
        <f>626-535</f>
        <v>91</v>
      </c>
      <c r="E73" s="36">
        <f>90969-79127</f>
        <v>11842</v>
      </c>
      <c r="F73" s="35">
        <v>3</v>
      </c>
      <c r="G73" s="37">
        <v>1</v>
      </c>
    </row>
    <row r="74" spans="2:7" ht="12.75">
      <c r="B74" s="34"/>
      <c r="C74" s="34" t="s">
        <v>29</v>
      </c>
      <c r="D74" s="35">
        <f>701-626</f>
        <v>75</v>
      </c>
      <c r="E74" s="36">
        <f>101177-90969</f>
        <v>10208</v>
      </c>
      <c r="F74" s="35">
        <v>2</v>
      </c>
      <c r="G74" s="37">
        <v>11</v>
      </c>
    </row>
    <row r="75" spans="2:7" ht="13.5" thickBot="1">
      <c r="B75" s="9"/>
      <c r="C75" s="34" t="s">
        <v>30</v>
      </c>
      <c r="D75" s="35">
        <f>728-701</f>
        <v>27</v>
      </c>
      <c r="E75" s="36">
        <f>104338-101177</f>
        <v>3161</v>
      </c>
      <c r="F75" s="35">
        <v>1</v>
      </c>
      <c r="G75" s="37">
        <v>5</v>
      </c>
    </row>
    <row r="76" spans="2:7" ht="13.5" thickBot="1">
      <c r="B76" s="33"/>
      <c r="C76" s="38" t="s">
        <v>33</v>
      </c>
      <c r="D76" s="39">
        <v>728</v>
      </c>
      <c r="E76" s="40">
        <v>104338</v>
      </c>
      <c r="F76" s="39">
        <v>18</v>
      </c>
      <c r="G76" s="41">
        <v>89</v>
      </c>
    </row>
    <row r="77" ht="13.5" thickBot="1"/>
    <row r="78" spans="2:8" ht="13.5" thickBot="1">
      <c r="B78" s="12">
        <v>1841</v>
      </c>
      <c r="C78" s="4" t="s">
        <v>19</v>
      </c>
      <c r="D78" s="2">
        <v>91</v>
      </c>
      <c r="E78" s="3">
        <v>13815</v>
      </c>
      <c r="F78" s="2" t="s">
        <v>32</v>
      </c>
      <c r="G78" s="5" t="s">
        <v>32</v>
      </c>
      <c r="H78" s="43">
        <v>2</v>
      </c>
    </row>
    <row r="79" spans="2:7" ht="12.75">
      <c r="B79" s="34"/>
      <c r="C79" s="34" t="s">
        <v>20</v>
      </c>
      <c r="D79" s="35">
        <f>129-D78</f>
        <v>38</v>
      </c>
      <c r="E79" s="36">
        <f>19196-E78</f>
        <v>5381</v>
      </c>
      <c r="F79" s="35" t="s">
        <v>32</v>
      </c>
      <c r="G79" s="37" t="s">
        <v>32</v>
      </c>
    </row>
    <row r="80" spans="2:7" ht="12.75">
      <c r="B80" s="34"/>
      <c r="C80" s="34" t="s">
        <v>21</v>
      </c>
      <c r="D80" s="35">
        <f>184-129</f>
        <v>55</v>
      </c>
      <c r="E80" s="36">
        <f>28523-19196</f>
        <v>9327</v>
      </c>
      <c r="F80" s="35" t="s">
        <v>32</v>
      </c>
      <c r="G80" s="37" t="s">
        <v>32</v>
      </c>
    </row>
    <row r="81" spans="2:7" ht="12.75">
      <c r="B81" s="34"/>
      <c r="C81" s="34" t="s">
        <v>22</v>
      </c>
      <c r="D81" s="35">
        <f>232-184</f>
        <v>48</v>
      </c>
      <c r="E81" s="36">
        <f>37113-28523</f>
        <v>8590</v>
      </c>
      <c r="F81" s="35" t="s">
        <v>32</v>
      </c>
      <c r="G81" s="37" t="s">
        <v>32</v>
      </c>
    </row>
    <row r="82" spans="2:7" ht="12.75">
      <c r="B82" s="34"/>
      <c r="C82" s="34" t="s">
        <v>23</v>
      </c>
      <c r="D82" s="35">
        <f>288-232</f>
        <v>56</v>
      </c>
      <c r="E82" s="36">
        <f>44727-37113</f>
        <v>7614</v>
      </c>
      <c r="F82" s="35" t="s">
        <v>32</v>
      </c>
      <c r="G82" s="37" t="s">
        <v>32</v>
      </c>
    </row>
    <row r="83" spans="2:7" ht="12.75">
      <c r="B83" s="34"/>
      <c r="C83" s="34" t="s">
        <v>24</v>
      </c>
      <c r="D83" s="35">
        <f>338-288</f>
        <v>50</v>
      </c>
      <c r="E83" s="36">
        <f>51208-44727</f>
        <v>6481</v>
      </c>
      <c r="F83" s="35" t="s">
        <v>32</v>
      </c>
      <c r="G83" s="37" t="s">
        <v>32</v>
      </c>
    </row>
    <row r="84" spans="2:7" ht="12.75">
      <c r="B84" s="34"/>
      <c r="C84" s="34" t="s">
        <v>25</v>
      </c>
      <c r="D84" s="35">
        <f>402-338</f>
        <v>64</v>
      </c>
      <c r="E84" s="36">
        <f>60845-51208</f>
        <v>9637</v>
      </c>
      <c r="F84" s="35" t="s">
        <v>32</v>
      </c>
      <c r="G84" s="37" t="s">
        <v>32</v>
      </c>
    </row>
    <row r="85" spans="2:7" ht="12.75">
      <c r="B85" s="34"/>
      <c r="C85" s="34" t="s">
        <v>26</v>
      </c>
      <c r="D85" s="35">
        <f>417-402</f>
        <v>15</v>
      </c>
      <c r="E85" s="36">
        <f>63126-60845</f>
        <v>2281</v>
      </c>
      <c r="F85" s="35" t="s">
        <v>32</v>
      </c>
      <c r="G85" s="37" t="s">
        <v>32</v>
      </c>
    </row>
    <row r="86" spans="2:7" ht="12.75">
      <c r="B86" s="34"/>
      <c r="C86" s="34" t="s">
        <v>27</v>
      </c>
      <c r="D86" s="35">
        <f>436-417</f>
        <v>19</v>
      </c>
      <c r="E86" s="36">
        <f>65718-63126</f>
        <v>2592</v>
      </c>
      <c r="F86" s="35" t="s">
        <v>32</v>
      </c>
      <c r="G86" s="37" t="s">
        <v>32</v>
      </c>
    </row>
    <row r="87" spans="2:7" ht="12.75">
      <c r="B87" s="34"/>
      <c r="C87" s="34" t="s">
        <v>28</v>
      </c>
      <c r="D87" s="35">
        <f>444-436</f>
        <v>8</v>
      </c>
      <c r="E87" s="36">
        <f>66553-65718</f>
        <v>835</v>
      </c>
      <c r="F87" s="35" t="s">
        <v>32</v>
      </c>
      <c r="G87" s="37" t="s">
        <v>32</v>
      </c>
    </row>
    <row r="88" spans="2:7" ht="12.75">
      <c r="B88" s="34"/>
      <c r="C88" s="34" t="s">
        <v>29</v>
      </c>
      <c r="D88" s="35">
        <f>510-444</f>
        <v>66</v>
      </c>
      <c r="E88" s="36">
        <f>75967-66553</f>
        <v>9414</v>
      </c>
      <c r="F88" s="35" t="s">
        <v>32</v>
      </c>
      <c r="G88" s="37" t="s">
        <v>32</v>
      </c>
    </row>
    <row r="89" spans="2:7" ht="13.5" thickBot="1">
      <c r="B89" s="9"/>
      <c r="C89" s="34" t="s">
        <v>30</v>
      </c>
      <c r="D89" s="35">
        <f>527-510</f>
        <v>17</v>
      </c>
      <c r="E89" s="36">
        <f>78113-75967</f>
        <v>2146</v>
      </c>
      <c r="F89" s="35" t="s">
        <v>32</v>
      </c>
      <c r="G89" s="37" t="s">
        <v>32</v>
      </c>
    </row>
    <row r="90" spans="3:7" ht="13.5" thickBot="1">
      <c r="C90" s="39" t="s">
        <v>33</v>
      </c>
      <c r="D90" s="39">
        <v>527</v>
      </c>
      <c r="E90" s="40">
        <v>78113</v>
      </c>
      <c r="F90" s="39" t="s">
        <v>32</v>
      </c>
      <c r="G90" s="41" t="s">
        <v>32</v>
      </c>
    </row>
    <row r="91" ht="13.5" thickBot="1"/>
    <row r="92" spans="2:8" ht="12.75">
      <c r="B92" s="4" t="s">
        <v>0</v>
      </c>
      <c r="C92" s="2" t="s">
        <v>1</v>
      </c>
      <c r="D92" s="3" t="s">
        <v>2</v>
      </c>
      <c r="E92" s="2" t="s">
        <v>4</v>
      </c>
      <c r="F92" s="3" t="s">
        <v>6</v>
      </c>
      <c r="G92" s="2" t="s">
        <v>6</v>
      </c>
      <c r="H92" s="2" t="s">
        <v>42</v>
      </c>
    </row>
    <row r="93" spans="2:8" ht="13.5" thickBot="1">
      <c r="B93" s="9"/>
      <c r="C93" s="7"/>
      <c r="D93" s="8" t="s">
        <v>3</v>
      </c>
      <c r="E93" s="7" t="s">
        <v>5</v>
      </c>
      <c r="F93" s="8"/>
      <c r="G93" s="7" t="s">
        <v>7</v>
      </c>
      <c r="H93" s="6"/>
    </row>
    <row r="94" ht="13.5" thickBot="1"/>
    <row r="95" spans="2:7" ht="12.75">
      <c r="B95" s="32">
        <v>1842</v>
      </c>
      <c r="C95" s="4" t="s">
        <v>19</v>
      </c>
      <c r="D95" s="2">
        <v>47</v>
      </c>
      <c r="E95" s="3">
        <v>9894</v>
      </c>
      <c r="F95" s="2" t="s">
        <v>32</v>
      </c>
      <c r="G95" s="5" t="s">
        <v>32</v>
      </c>
    </row>
    <row r="96" spans="3:7" ht="12.75">
      <c r="C96" s="34" t="s">
        <v>20</v>
      </c>
      <c r="D96" s="35">
        <f>115-47</f>
        <v>68</v>
      </c>
      <c r="E96" s="36">
        <f>16098-E95</f>
        <v>6204</v>
      </c>
      <c r="F96" s="35" t="s">
        <v>32</v>
      </c>
      <c r="G96" s="37" t="s">
        <v>32</v>
      </c>
    </row>
    <row r="97" spans="3:7" ht="12.75">
      <c r="C97" s="34" t="s">
        <v>21</v>
      </c>
      <c r="D97" s="35">
        <f>189-115</f>
        <v>74</v>
      </c>
      <c r="E97" s="36">
        <f>28478-16048</f>
        <v>12430</v>
      </c>
      <c r="F97" s="35" t="s">
        <v>32</v>
      </c>
      <c r="G97" s="37" t="s">
        <v>32</v>
      </c>
    </row>
    <row r="98" spans="3:7" ht="12.75">
      <c r="C98" s="34" t="s">
        <v>22</v>
      </c>
      <c r="D98" s="35">
        <f>254-189</f>
        <v>65</v>
      </c>
      <c r="E98" s="36">
        <f>36310-28478</f>
        <v>7832</v>
      </c>
      <c r="F98" s="35" t="s">
        <v>32</v>
      </c>
      <c r="G98" s="37" t="s">
        <v>32</v>
      </c>
    </row>
    <row r="99" spans="3:7" ht="12.75">
      <c r="C99" s="34" t="s">
        <v>23</v>
      </c>
      <c r="D99" s="35">
        <f>295-254</f>
        <v>41</v>
      </c>
      <c r="E99" s="36">
        <f>42295-36310</f>
        <v>5985</v>
      </c>
      <c r="F99" s="35">
        <v>4</v>
      </c>
      <c r="G99" s="37">
        <v>37</v>
      </c>
    </row>
    <row r="100" spans="3:7" ht="12.75">
      <c r="C100" s="34" t="s">
        <v>24</v>
      </c>
      <c r="D100" s="35">
        <f>418-295</f>
        <v>123</v>
      </c>
      <c r="E100" s="36">
        <f>59839-42295</f>
        <v>17544</v>
      </c>
      <c r="F100" s="35">
        <v>1</v>
      </c>
      <c r="G100" s="37">
        <v>13</v>
      </c>
    </row>
    <row r="101" spans="3:7" ht="12.75">
      <c r="C101" s="34" t="s">
        <v>25</v>
      </c>
      <c r="D101" s="35">
        <f>481-418</f>
        <v>63</v>
      </c>
      <c r="E101" s="36">
        <f>69452-59839</f>
        <v>9613</v>
      </c>
      <c r="F101" s="35" t="s">
        <v>32</v>
      </c>
      <c r="G101" s="37" t="s">
        <v>32</v>
      </c>
    </row>
    <row r="102" spans="3:7" ht="12.75">
      <c r="C102" s="34" t="s">
        <v>26</v>
      </c>
      <c r="D102" s="35">
        <f>499-481</f>
        <v>18</v>
      </c>
      <c r="E102" s="36">
        <f>71917-69452</f>
        <v>2465</v>
      </c>
      <c r="F102" s="35" t="s">
        <v>32</v>
      </c>
      <c r="G102" s="37" t="s">
        <v>32</v>
      </c>
    </row>
    <row r="103" spans="3:7" ht="12.75">
      <c r="C103" s="34" t="s">
        <v>27</v>
      </c>
      <c r="D103" s="35">
        <f>554-499</f>
        <v>55</v>
      </c>
      <c r="E103" s="36">
        <f>81012-71917</f>
        <v>9095</v>
      </c>
      <c r="F103" s="35" t="s">
        <v>32</v>
      </c>
      <c r="G103" s="37" t="s">
        <v>32</v>
      </c>
    </row>
    <row r="104" spans="3:7" ht="12.75">
      <c r="C104" s="34" t="s">
        <v>28</v>
      </c>
      <c r="D104" s="35">
        <f>586-554</f>
        <v>32</v>
      </c>
      <c r="E104" s="36">
        <f>86095-81012</f>
        <v>5083</v>
      </c>
      <c r="F104" s="35">
        <v>2</v>
      </c>
      <c r="G104" s="37">
        <v>14</v>
      </c>
    </row>
    <row r="105" spans="3:7" ht="12.75">
      <c r="C105" s="34" t="s">
        <v>29</v>
      </c>
      <c r="D105" s="35">
        <f>668-586</f>
        <v>82</v>
      </c>
      <c r="E105" s="36">
        <f>97792-86095</f>
        <v>11697</v>
      </c>
      <c r="F105" s="35" t="s">
        <v>32</v>
      </c>
      <c r="G105" s="37" t="s">
        <v>32</v>
      </c>
    </row>
    <row r="106" spans="3:7" ht="13.5" thickBot="1">
      <c r="C106" s="9" t="s">
        <v>30</v>
      </c>
      <c r="D106" s="7">
        <f>726-668</f>
        <v>58</v>
      </c>
      <c r="E106" s="8">
        <f>106868-97792</f>
        <v>9076</v>
      </c>
      <c r="F106" s="7" t="s">
        <v>32</v>
      </c>
      <c r="G106" s="10" t="s">
        <v>32</v>
      </c>
    </row>
    <row r="107" spans="3:7" ht="13.5" thickBot="1">
      <c r="C107" s="38" t="s">
        <v>33</v>
      </c>
      <c r="D107" s="39">
        <v>726</v>
      </c>
      <c r="E107" s="40">
        <v>106918</v>
      </c>
      <c r="F107" s="39">
        <v>7</v>
      </c>
      <c r="G107" s="41">
        <v>68</v>
      </c>
    </row>
    <row r="108" ht="13.5" thickBot="1"/>
    <row r="109" spans="2:7" ht="12.75">
      <c r="B109" s="32">
        <v>1843</v>
      </c>
      <c r="C109" s="4" t="s">
        <v>19</v>
      </c>
      <c r="D109" s="2">
        <f>60</f>
        <v>60</v>
      </c>
      <c r="E109" s="3">
        <f>9372</f>
        <v>9372</v>
      </c>
      <c r="F109" s="2">
        <v>4</v>
      </c>
      <c r="G109" s="5">
        <v>16</v>
      </c>
    </row>
    <row r="110" spans="3:7" ht="12.75">
      <c r="C110" s="34" t="s">
        <v>20</v>
      </c>
      <c r="D110" s="35">
        <f>116-D109</f>
        <v>56</v>
      </c>
      <c r="E110" s="36">
        <f>18043-E109</f>
        <v>8671</v>
      </c>
      <c r="F110" s="35" t="s">
        <v>32</v>
      </c>
      <c r="G110" s="37" t="s">
        <v>32</v>
      </c>
    </row>
    <row r="111" spans="3:7" ht="12.75">
      <c r="C111" s="34" t="s">
        <v>21</v>
      </c>
      <c r="D111" s="35">
        <f>178-116</f>
        <v>62</v>
      </c>
      <c r="E111" s="36">
        <f>27439-18043</f>
        <v>9396</v>
      </c>
      <c r="F111" s="35" t="s">
        <v>32</v>
      </c>
      <c r="G111" s="37" t="s">
        <v>32</v>
      </c>
    </row>
    <row r="112" spans="3:7" ht="12.75">
      <c r="C112" s="34" t="s">
        <v>22</v>
      </c>
      <c r="D112" s="35">
        <f>247-178</f>
        <v>69</v>
      </c>
      <c r="E112" s="36">
        <f>37995-27439</f>
        <v>10556</v>
      </c>
      <c r="F112" s="35" t="s">
        <v>32</v>
      </c>
      <c r="G112" s="37" t="s">
        <v>32</v>
      </c>
    </row>
    <row r="113" spans="3:7" ht="12.75">
      <c r="C113" s="34" t="s">
        <v>23</v>
      </c>
      <c r="D113" s="35">
        <f>322-247</f>
        <v>75</v>
      </c>
      <c r="E113" s="36">
        <f>49645-37995</f>
        <v>11650</v>
      </c>
      <c r="F113" s="35" t="s">
        <v>32</v>
      </c>
      <c r="G113" s="37" t="s">
        <v>32</v>
      </c>
    </row>
    <row r="114" spans="3:7" ht="12.75">
      <c r="C114" s="34" t="s">
        <v>24</v>
      </c>
      <c r="D114" s="35">
        <f>369-322</f>
        <v>47</v>
      </c>
      <c r="E114" s="36">
        <f>56592-49645</f>
        <v>6947</v>
      </c>
      <c r="F114" s="35">
        <v>1</v>
      </c>
      <c r="G114" s="37">
        <v>25</v>
      </c>
    </row>
    <row r="115" spans="3:7" ht="12.75">
      <c r="C115" s="34" t="s">
        <v>25</v>
      </c>
      <c r="D115" s="35">
        <f>407-369</f>
        <v>38</v>
      </c>
      <c r="E115" s="36">
        <f>62408-56592</f>
        <v>5816</v>
      </c>
      <c r="F115" s="35" t="s">
        <v>32</v>
      </c>
      <c r="G115" s="37" t="s">
        <v>32</v>
      </c>
    </row>
    <row r="116" spans="3:7" ht="12.75">
      <c r="C116" s="34" t="s">
        <v>26</v>
      </c>
      <c r="D116" s="35">
        <f>448-407</f>
        <v>41</v>
      </c>
      <c r="E116" s="36">
        <f>68237-62408</f>
        <v>5829</v>
      </c>
      <c r="F116" s="35">
        <v>3</v>
      </c>
      <c r="G116" s="37">
        <v>52</v>
      </c>
    </row>
    <row r="117" spans="3:7" ht="12.75">
      <c r="C117" s="34" t="s">
        <v>27</v>
      </c>
      <c r="D117" s="35">
        <f>490-448</f>
        <v>42</v>
      </c>
      <c r="E117" s="36">
        <f>74443-68237</f>
        <v>6206</v>
      </c>
      <c r="F117" s="35" t="s">
        <v>32</v>
      </c>
      <c r="G117" s="37" t="s">
        <v>32</v>
      </c>
    </row>
    <row r="118" spans="3:7" ht="12.75">
      <c r="C118" s="34" t="s">
        <v>28</v>
      </c>
      <c r="D118" s="35">
        <f>533-490</f>
        <v>43</v>
      </c>
      <c r="E118" s="36">
        <f>81120-74443</f>
        <v>6677</v>
      </c>
      <c r="F118" s="35" t="s">
        <v>32</v>
      </c>
      <c r="G118" s="37" t="s">
        <v>32</v>
      </c>
    </row>
    <row r="119" spans="3:7" ht="12.75">
      <c r="C119" s="34" t="s">
        <v>29</v>
      </c>
      <c r="D119" s="35">
        <f>581-533</f>
        <v>48</v>
      </c>
      <c r="E119" s="36">
        <f>88974-81120</f>
        <v>7854</v>
      </c>
      <c r="F119" s="35">
        <v>1</v>
      </c>
      <c r="G119" s="37">
        <v>9</v>
      </c>
    </row>
    <row r="120" spans="3:7" ht="13.5" thickBot="1">
      <c r="C120" s="9" t="s">
        <v>30</v>
      </c>
      <c r="D120" s="7">
        <f>666-581</f>
        <v>85</v>
      </c>
      <c r="E120" s="8">
        <f>103420-88974</f>
        <v>14446</v>
      </c>
      <c r="F120" s="7" t="s">
        <v>32</v>
      </c>
      <c r="G120" s="10" t="s">
        <v>32</v>
      </c>
    </row>
    <row r="121" spans="3:7" ht="13.5" thickBot="1">
      <c r="C121" s="38" t="s">
        <v>33</v>
      </c>
      <c r="D121" s="39">
        <v>666</v>
      </c>
      <c r="E121" s="40">
        <v>103420</v>
      </c>
      <c r="F121" s="39">
        <v>9</v>
      </c>
      <c r="G121" s="41">
        <v>102</v>
      </c>
    </row>
    <row r="122" ht="13.5" thickBot="1"/>
    <row r="123" spans="2:8" ht="12.75">
      <c r="B123" s="4" t="s">
        <v>0</v>
      </c>
      <c r="C123" s="2" t="s">
        <v>1</v>
      </c>
      <c r="D123" s="3" t="s">
        <v>2</v>
      </c>
      <c r="E123" s="2" t="s">
        <v>4</v>
      </c>
      <c r="F123" s="3" t="s">
        <v>6</v>
      </c>
      <c r="G123" s="2" t="s">
        <v>6</v>
      </c>
      <c r="H123" s="2" t="s">
        <v>42</v>
      </c>
    </row>
    <row r="124" spans="2:8" ht="13.5" thickBot="1">
      <c r="B124" s="9"/>
      <c r="C124" s="7"/>
      <c r="D124" s="8" t="s">
        <v>3</v>
      </c>
      <c r="E124" s="7" t="s">
        <v>5</v>
      </c>
      <c r="F124" s="8"/>
      <c r="G124" s="7" t="s">
        <v>7</v>
      </c>
      <c r="H124" s="6"/>
    </row>
    <row r="125" ht="13.5" thickBot="1"/>
    <row r="126" spans="2:7" ht="12.75">
      <c r="B126" s="32">
        <v>1845</v>
      </c>
      <c r="C126" s="4" t="s">
        <v>19</v>
      </c>
      <c r="D126" s="2">
        <v>51</v>
      </c>
      <c r="E126" s="3">
        <v>9039</v>
      </c>
      <c r="F126" s="2" t="s">
        <v>32</v>
      </c>
      <c r="G126" s="5" t="s">
        <v>32</v>
      </c>
    </row>
    <row r="127" spans="2:7" ht="12.75">
      <c r="B127" s="33"/>
      <c r="C127" s="34" t="s">
        <v>20</v>
      </c>
      <c r="D127" s="35">
        <f>106-51</f>
        <v>55</v>
      </c>
      <c r="E127" s="36">
        <f>17342-E126</f>
        <v>8303</v>
      </c>
      <c r="F127" s="35" t="s">
        <v>32</v>
      </c>
      <c r="G127" s="37" t="s">
        <v>32</v>
      </c>
    </row>
    <row r="128" spans="2:7" ht="12.75">
      <c r="B128" s="33"/>
      <c r="C128" s="34" t="s">
        <v>21</v>
      </c>
      <c r="D128" s="35">
        <f>166-106</f>
        <v>60</v>
      </c>
      <c r="E128" s="36">
        <f>25650-17342</f>
        <v>8308</v>
      </c>
      <c r="F128" s="35" t="s">
        <v>32</v>
      </c>
      <c r="G128" s="37" t="s">
        <v>32</v>
      </c>
    </row>
    <row r="129" spans="2:7" ht="12.75">
      <c r="B129" s="33"/>
      <c r="C129" s="34" t="s">
        <v>22</v>
      </c>
      <c r="D129" s="35">
        <f>219-166</f>
        <v>53</v>
      </c>
      <c r="E129" s="36">
        <f>33692-25650</f>
        <v>8042</v>
      </c>
      <c r="F129" s="35" t="s">
        <v>32</v>
      </c>
      <c r="G129" s="37" t="s">
        <v>32</v>
      </c>
    </row>
    <row r="130" spans="2:7" ht="12.75">
      <c r="B130" s="33"/>
      <c r="C130" s="34" t="s">
        <v>23</v>
      </c>
      <c r="D130" s="35">
        <f>307-219</f>
        <v>88</v>
      </c>
      <c r="E130" s="36">
        <f>46969-33692</f>
        <v>13277</v>
      </c>
      <c r="F130" s="35">
        <v>4</v>
      </c>
      <c r="G130" s="37">
        <v>34</v>
      </c>
    </row>
    <row r="131" spans="2:7" ht="12.75">
      <c r="B131" s="33"/>
      <c r="C131" s="34" t="s">
        <v>24</v>
      </c>
      <c r="D131" s="35">
        <f>354-307</f>
        <v>47</v>
      </c>
      <c r="E131" s="36">
        <f>54447-46969</f>
        <v>7478</v>
      </c>
      <c r="F131" s="35" t="s">
        <v>32</v>
      </c>
      <c r="G131" s="37" t="s">
        <v>32</v>
      </c>
    </row>
    <row r="132" spans="2:7" ht="12.75">
      <c r="B132" s="33"/>
      <c r="C132" s="34" t="s">
        <v>25</v>
      </c>
      <c r="D132" s="35">
        <f>407-354</f>
        <v>53</v>
      </c>
      <c r="E132" s="36">
        <f>62160-54447</f>
        <v>7713</v>
      </c>
      <c r="F132" s="35" t="s">
        <v>32</v>
      </c>
      <c r="G132" s="37" t="s">
        <v>32</v>
      </c>
    </row>
    <row r="133" spans="2:7" ht="12.75">
      <c r="B133" s="33"/>
      <c r="C133" s="34" t="s">
        <v>26</v>
      </c>
      <c r="D133" s="35">
        <f>456-407</f>
        <v>49</v>
      </c>
      <c r="E133" s="36">
        <f>69855-62160</f>
        <v>7695</v>
      </c>
      <c r="F133" s="35" t="s">
        <v>32</v>
      </c>
      <c r="G133" s="37" t="s">
        <v>32</v>
      </c>
    </row>
    <row r="134" spans="2:7" ht="12.75">
      <c r="B134" s="33"/>
      <c r="C134" s="34" t="s">
        <v>27</v>
      </c>
      <c r="D134" s="35">
        <f>495-456</f>
        <v>39</v>
      </c>
      <c r="E134" s="36">
        <f>75919-69855</f>
        <v>6064</v>
      </c>
      <c r="F134" s="35" t="s">
        <v>32</v>
      </c>
      <c r="G134" s="37" t="s">
        <v>32</v>
      </c>
    </row>
    <row r="135" spans="2:7" ht="12.75">
      <c r="B135" s="33"/>
      <c r="C135" s="34" t="s">
        <v>28</v>
      </c>
      <c r="D135" s="35">
        <f>539-495</f>
        <v>44</v>
      </c>
      <c r="E135" s="36">
        <f>82513-75919</f>
        <v>6594</v>
      </c>
      <c r="F135" s="35">
        <v>6</v>
      </c>
      <c r="G135" s="37">
        <f>88-34</f>
        <v>54</v>
      </c>
    </row>
    <row r="136" spans="2:7" ht="12.75">
      <c r="B136" s="33"/>
      <c r="C136" s="34" t="s">
        <v>29</v>
      </c>
      <c r="D136" s="35">
        <f>592-539</f>
        <v>53</v>
      </c>
      <c r="E136" s="36">
        <f>90554-82513</f>
        <v>8041</v>
      </c>
      <c r="F136" s="35" t="s">
        <v>32</v>
      </c>
      <c r="G136" s="37" t="s">
        <v>32</v>
      </c>
    </row>
    <row r="137" spans="2:7" ht="13.5" thickBot="1">
      <c r="B137" s="33"/>
      <c r="C137" s="34" t="s">
        <v>30</v>
      </c>
      <c r="D137" s="35">
        <f>646-592</f>
        <v>54</v>
      </c>
      <c r="E137" s="36">
        <f>99362-91554</f>
        <v>7808</v>
      </c>
      <c r="F137" s="35" t="s">
        <v>32</v>
      </c>
      <c r="G137" s="37" t="s">
        <v>32</v>
      </c>
    </row>
    <row r="138" spans="2:7" ht="13.5" thickBot="1">
      <c r="B138" s="33"/>
      <c r="C138" s="38" t="s">
        <v>33</v>
      </c>
      <c r="D138" s="39">
        <v>646</v>
      </c>
      <c r="E138" s="40">
        <v>98362</v>
      </c>
      <c r="F138" s="39">
        <v>10</v>
      </c>
      <c r="G138" s="41">
        <v>88</v>
      </c>
    </row>
    <row r="139" ht="13.5" thickBot="1"/>
    <row r="140" spans="2:8" ht="13.5" thickBot="1">
      <c r="B140" s="32">
        <v>1847</v>
      </c>
      <c r="C140" s="4" t="s">
        <v>19</v>
      </c>
      <c r="D140" s="2">
        <v>48</v>
      </c>
      <c r="E140" s="3">
        <v>10477</v>
      </c>
      <c r="F140" s="2">
        <v>2</v>
      </c>
      <c r="G140" s="2">
        <v>18</v>
      </c>
      <c r="H140" s="43">
        <v>3</v>
      </c>
    </row>
    <row r="141" spans="2:7" ht="12.75">
      <c r="B141" s="33"/>
      <c r="C141" s="34" t="s">
        <v>20</v>
      </c>
      <c r="D141" s="35">
        <f>86-D140</f>
        <v>38</v>
      </c>
      <c r="E141" s="36">
        <f>15697-E140</f>
        <v>5220</v>
      </c>
      <c r="F141" s="35" t="s">
        <v>32</v>
      </c>
      <c r="G141" s="35" t="s">
        <v>32</v>
      </c>
    </row>
    <row r="142" spans="2:7" ht="12.75">
      <c r="B142" s="33"/>
      <c r="C142" s="34" t="s">
        <v>21</v>
      </c>
      <c r="D142" s="35">
        <f>150-86</f>
        <v>64</v>
      </c>
      <c r="E142" s="36">
        <f>24152-15697</f>
        <v>8455</v>
      </c>
      <c r="F142" s="35">
        <v>4</v>
      </c>
      <c r="G142" s="35">
        <f>36-18</f>
        <v>18</v>
      </c>
    </row>
    <row r="143" spans="2:7" ht="12.75">
      <c r="B143" s="33"/>
      <c r="C143" s="34" t="s">
        <v>22</v>
      </c>
      <c r="D143" s="35">
        <f>223-150</f>
        <v>73</v>
      </c>
      <c r="E143" s="36">
        <f>34812-24152</f>
        <v>10660</v>
      </c>
      <c r="F143" s="35" t="s">
        <v>32</v>
      </c>
      <c r="G143" s="35" t="s">
        <v>32</v>
      </c>
    </row>
    <row r="144" spans="2:7" ht="12.75">
      <c r="B144" s="33"/>
      <c r="C144" s="34" t="s">
        <v>23</v>
      </c>
      <c r="D144" s="35">
        <f>264-223</f>
        <v>41</v>
      </c>
      <c r="E144" s="36">
        <f>41984-34812</f>
        <v>7172</v>
      </c>
      <c r="F144" s="35" t="s">
        <v>32</v>
      </c>
      <c r="G144" s="35" t="s">
        <v>32</v>
      </c>
    </row>
    <row r="145" spans="2:7" ht="12.75">
      <c r="B145" s="33"/>
      <c r="C145" s="34" t="s">
        <v>24</v>
      </c>
      <c r="D145" s="35">
        <f>309-264</f>
        <v>45</v>
      </c>
      <c r="E145" s="36">
        <f>48332-41984</f>
        <v>6348</v>
      </c>
      <c r="F145" s="35">
        <v>4</v>
      </c>
      <c r="G145" s="35">
        <f>57-36</f>
        <v>21</v>
      </c>
    </row>
    <row r="146" spans="2:7" ht="12.75">
      <c r="B146" s="33"/>
      <c r="C146" s="34" t="s">
        <v>25</v>
      </c>
      <c r="D146" s="35">
        <f>356-309</f>
        <v>47</v>
      </c>
      <c r="E146" s="36">
        <f>54537-48332</f>
        <v>6205</v>
      </c>
      <c r="F146" s="35" t="s">
        <v>32</v>
      </c>
      <c r="G146" s="35" t="s">
        <v>32</v>
      </c>
    </row>
    <row r="147" spans="2:7" ht="12.75">
      <c r="B147" s="33"/>
      <c r="C147" s="34" t="s">
        <v>26</v>
      </c>
      <c r="D147" s="35">
        <f>399-356</f>
        <v>43</v>
      </c>
      <c r="E147" s="36">
        <f>60449-54537</f>
        <v>5912</v>
      </c>
      <c r="F147" s="35" t="s">
        <v>32</v>
      </c>
      <c r="G147" s="35" t="s">
        <v>32</v>
      </c>
    </row>
    <row r="148" spans="2:7" ht="12.75">
      <c r="B148" s="33"/>
      <c r="C148" s="34" t="s">
        <v>27</v>
      </c>
      <c r="D148" s="35">
        <f>409-399</f>
        <v>10</v>
      </c>
      <c r="E148" s="36">
        <f>61402-60449</f>
        <v>953</v>
      </c>
      <c r="F148" s="35" t="s">
        <v>32</v>
      </c>
      <c r="G148" s="35" t="s">
        <v>32</v>
      </c>
    </row>
    <row r="149" spans="2:7" ht="12.75">
      <c r="B149" s="33"/>
      <c r="C149" s="34" t="s">
        <v>28</v>
      </c>
      <c r="D149" s="35">
        <f>476-409</f>
        <v>67</v>
      </c>
      <c r="E149" s="36">
        <f>71098-61402</f>
        <v>9696</v>
      </c>
      <c r="F149" s="35">
        <v>4</v>
      </c>
      <c r="G149" s="35">
        <v>24</v>
      </c>
    </row>
    <row r="150" spans="2:7" ht="12.75">
      <c r="B150" s="33"/>
      <c r="C150" s="34" t="s">
        <v>29</v>
      </c>
      <c r="D150" s="35">
        <f>525-476</f>
        <v>49</v>
      </c>
      <c r="E150" s="36">
        <f>78276-71098</f>
        <v>7178</v>
      </c>
      <c r="F150" s="35" t="s">
        <v>32</v>
      </c>
      <c r="G150" s="35" t="s">
        <v>32</v>
      </c>
    </row>
    <row r="151" spans="2:7" ht="13.5" thickBot="1">
      <c r="B151" s="33"/>
      <c r="C151" s="9" t="s">
        <v>30</v>
      </c>
      <c r="D151" s="7">
        <f>567-525</f>
        <v>42</v>
      </c>
      <c r="E151" s="8">
        <f>84143-78276</f>
        <v>5867</v>
      </c>
      <c r="F151" s="7" t="s">
        <v>32</v>
      </c>
      <c r="G151" s="7" t="s">
        <v>32</v>
      </c>
    </row>
    <row r="152" spans="3:7" ht="13.5" thickBot="1">
      <c r="C152" s="38" t="s">
        <v>33</v>
      </c>
      <c r="D152" s="39">
        <v>567</v>
      </c>
      <c r="E152" s="40">
        <v>84143</v>
      </c>
      <c r="F152" s="39">
        <v>14</v>
      </c>
      <c r="G152" s="39">
        <v>76</v>
      </c>
    </row>
    <row r="153" ht="13.5" thickBot="1"/>
    <row r="154" spans="2:8" ht="12.75">
      <c r="B154" s="4" t="s">
        <v>0</v>
      </c>
      <c r="C154" s="2" t="s">
        <v>1</v>
      </c>
      <c r="D154" s="3" t="s">
        <v>2</v>
      </c>
      <c r="E154" s="2" t="s">
        <v>4</v>
      </c>
      <c r="F154" s="3" t="s">
        <v>6</v>
      </c>
      <c r="G154" s="2" t="s">
        <v>6</v>
      </c>
      <c r="H154" s="2" t="s">
        <v>42</v>
      </c>
    </row>
    <row r="155" spans="2:8" ht="13.5" thickBot="1">
      <c r="B155" s="9"/>
      <c r="C155" s="7"/>
      <c r="D155" s="8" t="s">
        <v>3</v>
      </c>
      <c r="E155" s="7" t="s">
        <v>5</v>
      </c>
      <c r="F155" s="8"/>
      <c r="G155" s="7" t="s">
        <v>7</v>
      </c>
      <c r="H155" s="6"/>
    </row>
    <row r="156" ht="13.5" thickBot="1"/>
    <row r="157" spans="2:7" ht="12.75">
      <c r="B157" s="32">
        <v>1849</v>
      </c>
      <c r="C157" s="4" t="s">
        <v>19</v>
      </c>
      <c r="D157" s="2">
        <v>16</v>
      </c>
      <c r="E157" s="3">
        <v>8994</v>
      </c>
      <c r="F157" s="2">
        <v>8</v>
      </c>
      <c r="G157" s="5">
        <v>138</v>
      </c>
    </row>
    <row r="158" spans="3:7" ht="12.75">
      <c r="C158" s="34" t="s">
        <v>20</v>
      </c>
      <c r="D158" s="35">
        <f>76-16</f>
        <v>60</v>
      </c>
      <c r="E158" s="36">
        <f>13577-E157</f>
        <v>4583</v>
      </c>
      <c r="F158" s="35" t="s">
        <v>32</v>
      </c>
      <c r="G158" s="37" t="s">
        <v>32</v>
      </c>
    </row>
    <row r="159" spans="3:7" ht="12.75">
      <c r="C159" s="34" t="s">
        <v>21</v>
      </c>
      <c r="D159" s="35">
        <f>121-76</f>
        <v>45</v>
      </c>
      <c r="E159" s="36">
        <f>20178-13577</f>
        <v>6601</v>
      </c>
      <c r="F159" s="35" t="s">
        <v>32</v>
      </c>
      <c r="G159" s="37" t="s">
        <v>32</v>
      </c>
    </row>
    <row r="160" spans="3:7" ht="12.75">
      <c r="C160" s="34" t="s">
        <v>22</v>
      </c>
      <c r="D160" s="35">
        <f>152-121</f>
        <v>31</v>
      </c>
      <c r="E160" s="36">
        <f>23998-20178</f>
        <v>3820</v>
      </c>
      <c r="F160" s="35" t="s">
        <v>32</v>
      </c>
      <c r="G160" s="37" t="s">
        <v>32</v>
      </c>
    </row>
    <row r="161" spans="3:7" ht="12.75">
      <c r="C161" s="34" t="s">
        <v>23</v>
      </c>
      <c r="D161" s="35">
        <f>212-152</f>
        <v>60</v>
      </c>
      <c r="E161" s="36">
        <f>32553-23998</f>
        <v>8555</v>
      </c>
      <c r="F161" s="35" t="s">
        <v>32</v>
      </c>
      <c r="G161" s="37" t="s">
        <v>32</v>
      </c>
    </row>
    <row r="162" spans="3:7" ht="12.75">
      <c r="C162" s="34" t="s">
        <v>24</v>
      </c>
      <c r="D162" s="35">
        <f>236-212</f>
        <v>24</v>
      </c>
      <c r="E162" s="36">
        <f>35515-32553</f>
        <v>2962</v>
      </c>
      <c r="F162" s="35" t="s">
        <v>32</v>
      </c>
      <c r="G162" s="37" t="s">
        <v>32</v>
      </c>
    </row>
    <row r="163" spans="3:7" ht="12.75">
      <c r="C163" s="34" t="s">
        <v>25</v>
      </c>
      <c r="D163" s="35" t="s">
        <v>34</v>
      </c>
      <c r="E163" s="36" t="s">
        <v>34</v>
      </c>
      <c r="F163" s="35" t="s">
        <v>34</v>
      </c>
      <c r="G163" s="37" t="s">
        <v>34</v>
      </c>
    </row>
    <row r="164" spans="3:7" ht="12.75">
      <c r="C164" s="34" t="s">
        <v>26</v>
      </c>
      <c r="D164" s="35" t="s">
        <v>34</v>
      </c>
      <c r="E164" s="36" t="s">
        <v>34</v>
      </c>
      <c r="F164" s="35" t="s">
        <v>34</v>
      </c>
      <c r="G164" s="37" t="s">
        <v>34</v>
      </c>
    </row>
    <row r="165" spans="3:7" ht="12.75">
      <c r="C165" s="34" t="s">
        <v>27</v>
      </c>
      <c r="D165" s="35" t="s">
        <v>34</v>
      </c>
      <c r="E165" s="36" t="s">
        <v>34</v>
      </c>
      <c r="F165" s="35" t="s">
        <v>34</v>
      </c>
      <c r="G165" s="37" t="s">
        <v>34</v>
      </c>
    </row>
    <row r="166" spans="3:7" ht="12.75">
      <c r="C166" s="34" t="s">
        <v>28</v>
      </c>
      <c r="D166" s="35" t="s">
        <v>34</v>
      </c>
      <c r="E166" s="36" t="s">
        <v>34</v>
      </c>
      <c r="F166" s="35" t="s">
        <v>34</v>
      </c>
      <c r="G166" s="37" t="s">
        <v>34</v>
      </c>
    </row>
    <row r="167" spans="3:7" ht="12.75">
      <c r="C167" s="34" t="s">
        <v>29</v>
      </c>
      <c r="D167" s="35" t="s">
        <v>34</v>
      </c>
      <c r="E167" s="36" t="s">
        <v>34</v>
      </c>
      <c r="F167" s="35" t="s">
        <v>34</v>
      </c>
      <c r="G167" s="37" t="s">
        <v>34</v>
      </c>
    </row>
    <row r="168" spans="3:7" ht="13.5" thickBot="1">
      <c r="C168" s="34" t="s">
        <v>30</v>
      </c>
      <c r="D168" s="35" t="s">
        <v>34</v>
      </c>
      <c r="E168" s="36" t="s">
        <v>34</v>
      </c>
      <c r="F168" s="35" t="s">
        <v>34</v>
      </c>
      <c r="G168" s="37" t="s">
        <v>34</v>
      </c>
    </row>
    <row r="169" spans="3:7" ht="13.5" thickBot="1">
      <c r="C169" s="38" t="s">
        <v>33</v>
      </c>
      <c r="D169" s="39" t="s">
        <v>34</v>
      </c>
      <c r="E169" s="40" t="s">
        <v>34</v>
      </c>
      <c r="F169" s="39" t="s">
        <v>34</v>
      </c>
      <c r="G169" s="41" t="s">
        <v>34</v>
      </c>
    </row>
  </sheetData>
  <sheetProtection password="EAC5" sheet="1" objects="1" scenarios="1" selectLockedCells="1" selectUnlockedCells="1"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8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11.421875" style="1" customWidth="1"/>
    <col min="3" max="3" width="13.8515625" style="1" customWidth="1"/>
    <col min="4" max="4" width="14.7109375" style="1" customWidth="1"/>
    <col min="5" max="5" width="13.8515625" style="1" customWidth="1"/>
    <col min="6" max="6" width="18.7109375" style="1" customWidth="1"/>
    <col min="7" max="7" width="11.00390625" style="1" customWidth="1"/>
    <col min="8" max="8" width="11.421875" style="1" customWidth="1"/>
    <col min="9" max="9" width="12.57421875" style="1" customWidth="1"/>
    <col min="10" max="10" width="12.8515625" style="1" customWidth="1"/>
    <col min="11" max="11" width="14.421875" style="1" customWidth="1"/>
    <col min="12" max="12" width="20.00390625" style="1" customWidth="1"/>
    <col min="13" max="13" width="21.421875" style="1" customWidth="1"/>
    <col min="14" max="14" width="19.8515625" style="1" customWidth="1"/>
    <col min="15" max="16384" width="11.421875" style="1" customWidth="1"/>
  </cols>
  <sheetData>
    <row r="1" ht="13.5" thickBot="1"/>
    <row r="2" spans="2:13" ht="12.75">
      <c r="B2" s="4"/>
      <c r="C2" s="2"/>
      <c r="D2" s="3" t="s">
        <v>4</v>
      </c>
      <c r="E2" s="2" t="s">
        <v>9</v>
      </c>
      <c r="F2" s="3"/>
      <c r="G2" s="2"/>
      <c r="H2" s="3"/>
      <c r="I2" s="2"/>
      <c r="J2" s="3"/>
      <c r="K2" s="2"/>
      <c r="L2" s="5" t="s">
        <v>18</v>
      </c>
      <c r="M2" s="2" t="s">
        <v>51</v>
      </c>
    </row>
    <row r="3" spans="2:13" ht="13.5" thickBot="1">
      <c r="B3" s="9" t="s">
        <v>8</v>
      </c>
      <c r="C3" s="7" t="s">
        <v>1</v>
      </c>
      <c r="D3" s="8" t="s">
        <v>5</v>
      </c>
      <c r="E3" s="7" t="s">
        <v>10</v>
      </c>
      <c r="F3" s="8" t="s">
        <v>11</v>
      </c>
      <c r="G3" s="7" t="s">
        <v>12</v>
      </c>
      <c r="H3" s="8" t="s">
        <v>13</v>
      </c>
      <c r="I3" s="7" t="s">
        <v>14</v>
      </c>
      <c r="J3" s="8" t="s">
        <v>15</v>
      </c>
      <c r="K3" s="7" t="s">
        <v>16</v>
      </c>
      <c r="L3" s="10" t="s">
        <v>17</v>
      </c>
      <c r="M3" s="7" t="s">
        <v>36</v>
      </c>
    </row>
    <row r="4" ht="13.5" thickBot="1">
      <c r="B4" s="12">
        <v>1822</v>
      </c>
    </row>
    <row r="5" spans="2:13" ht="13.5" thickBot="1">
      <c r="B5" s="33" t="s">
        <v>49</v>
      </c>
      <c r="C5" s="42" t="s">
        <v>19</v>
      </c>
      <c r="D5" s="44">
        <v>159</v>
      </c>
      <c r="E5" s="46"/>
      <c r="F5" s="44"/>
      <c r="G5" s="44"/>
      <c r="H5" s="44"/>
      <c r="I5" s="44"/>
      <c r="J5" s="44"/>
      <c r="K5" s="44"/>
      <c r="L5" s="46"/>
      <c r="M5" s="47"/>
    </row>
    <row r="6" spans="2:13" ht="12.75">
      <c r="B6" s="33" t="s">
        <v>50</v>
      </c>
      <c r="C6" s="35" t="s">
        <v>19</v>
      </c>
      <c r="D6" s="34">
        <f>11294-D5</f>
        <v>11135</v>
      </c>
      <c r="E6" s="35">
        <v>45623</v>
      </c>
      <c r="F6" s="37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35" t="s">
        <v>32</v>
      </c>
      <c r="L6" s="37">
        <v>45623</v>
      </c>
      <c r="M6" s="35">
        <v>5350</v>
      </c>
    </row>
    <row r="7" spans="2:13" ht="12.75">
      <c r="B7" s="34"/>
      <c r="C7" s="35" t="s">
        <v>20</v>
      </c>
      <c r="D7" s="34">
        <f>16061-11294</f>
        <v>4767</v>
      </c>
      <c r="E7" s="35">
        <f>97069-E6</f>
        <v>51446</v>
      </c>
      <c r="F7" s="37" t="s">
        <v>32</v>
      </c>
      <c r="G7" s="35" t="s">
        <v>32</v>
      </c>
      <c r="H7" s="35" t="s">
        <v>32</v>
      </c>
      <c r="I7" s="35" t="s">
        <v>32</v>
      </c>
      <c r="J7" s="35" t="s">
        <v>32</v>
      </c>
      <c r="K7" s="35" t="s">
        <v>32</v>
      </c>
      <c r="L7" s="35">
        <v>51446</v>
      </c>
      <c r="M7" s="35">
        <v>6054</v>
      </c>
    </row>
    <row r="8" spans="2:13" ht="12.75">
      <c r="B8" s="34"/>
      <c r="C8" s="35" t="s">
        <v>21</v>
      </c>
      <c r="D8" s="34">
        <f>23524-16061</f>
        <v>7463</v>
      </c>
      <c r="E8" s="35">
        <f>150325-97069</f>
        <v>53256</v>
      </c>
      <c r="F8" s="37" t="s">
        <v>32</v>
      </c>
      <c r="G8" s="35" t="s">
        <v>32</v>
      </c>
      <c r="H8" s="35" t="s">
        <v>32</v>
      </c>
      <c r="I8" s="35" t="s">
        <v>32</v>
      </c>
      <c r="J8" s="35" t="s">
        <v>32</v>
      </c>
      <c r="K8" s="35" t="s">
        <v>32</v>
      </c>
      <c r="L8" s="35">
        <v>53256</v>
      </c>
      <c r="M8" s="35">
        <v>6258</v>
      </c>
    </row>
    <row r="9" spans="2:13" ht="12.75">
      <c r="B9" s="34"/>
      <c r="C9" s="35" t="s">
        <v>22</v>
      </c>
      <c r="D9" s="34">
        <f>40676-23524</f>
        <v>17152</v>
      </c>
      <c r="E9" s="35">
        <f>226950-150325</f>
        <v>76625</v>
      </c>
      <c r="F9" s="37" t="s">
        <v>32</v>
      </c>
      <c r="G9" s="35" t="s">
        <v>32</v>
      </c>
      <c r="H9" s="35" t="s">
        <v>32</v>
      </c>
      <c r="I9" s="35" t="s">
        <v>32</v>
      </c>
      <c r="J9" s="35" t="s">
        <v>32</v>
      </c>
      <c r="K9" s="35" t="s">
        <v>32</v>
      </c>
      <c r="L9" s="35">
        <v>76625</v>
      </c>
      <c r="M9" s="35">
        <v>9019</v>
      </c>
    </row>
    <row r="10" spans="2:13" ht="12.75">
      <c r="B10" s="34"/>
      <c r="C10" s="35" t="s">
        <v>23</v>
      </c>
      <c r="D10" s="34">
        <f>54707-40676</f>
        <v>14031</v>
      </c>
      <c r="E10" s="35">
        <f>327351-226950</f>
        <v>100401</v>
      </c>
      <c r="F10" s="37" t="s">
        <v>32</v>
      </c>
      <c r="G10" s="35" t="s">
        <v>32</v>
      </c>
      <c r="H10" s="35" t="s">
        <v>32</v>
      </c>
      <c r="I10" s="35" t="s">
        <v>32</v>
      </c>
      <c r="J10" s="35" t="s">
        <v>32</v>
      </c>
      <c r="K10" s="35" t="s">
        <v>32</v>
      </c>
      <c r="L10" s="35">
        <v>100401</v>
      </c>
      <c r="M10" s="35">
        <v>11811</v>
      </c>
    </row>
    <row r="11" spans="2:13" ht="12.75">
      <c r="B11" s="34"/>
      <c r="C11" s="35" t="s">
        <v>24</v>
      </c>
      <c r="D11" s="34">
        <f>61378-54707</f>
        <v>6671</v>
      </c>
      <c r="E11" s="35">
        <f>435204-327351</f>
        <v>107853</v>
      </c>
      <c r="F11" s="37" t="s">
        <v>32</v>
      </c>
      <c r="G11" s="35" t="s">
        <v>32</v>
      </c>
      <c r="H11" s="35" t="s">
        <v>32</v>
      </c>
      <c r="I11" s="35" t="s">
        <v>32</v>
      </c>
      <c r="J11" s="35" t="s">
        <v>32</v>
      </c>
      <c r="K11" s="35" t="s">
        <v>32</v>
      </c>
      <c r="L11" s="35">
        <v>107853</v>
      </c>
      <c r="M11" s="35">
        <v>12678</v>
      </c>
    </row>
    <row r="12" spans="2:13" ht="12.75">
      <c r="B12" s="34"/>
      <c r="C12" s="35" t="s">
        <v>25</v>
      </c>
      <c r="D12" s="34">
        <f>64320-61378</f>
        <v>2942</v>
      </c>
      <c r="E12" s="35">
        <f>527073-435204</f>
        <v>91869</v>
      </c>
      <c r="F12" s="37" t="s">
        <v>32</v>
      </c>
      <c r="G12" s="35" t="s">
        <v>32</v>
      </c>
      <c r="H12" s="35" t="s">
        <v>32</v>
      </c>
      <c r="I12" s="35" t="s">
        <v>32</v>
      </c>
      <c r="J12" s="35" t="s">
        <v>32</v>
      </c>
      <c r="K12" s="35" t="s">
        <v>32</v>
      </c>
      <c r="L12" s="35">
        <v>91869</v>
      </c>
      <c r="M12" s="35">
        <v>10803</v>
      </c>
    </row>
    <row r="13" spans="2:13" ht="12.75">
      <c r="B13" s="34"/>
      <c r="C13" s="35" t="s">
        <v>26</v>
      </c>
      <c r="D13" s="34">
        <f>73138-64320</f>
        <v>8818</v>
      </c>
      <c r="E13" s="35">
        <f>581449-527073</f>
        <v>54376</v>
      </c>
      <c r="F13" s="37" t="s">
        <v>32</v>
      </c>
      <c r="G13" s="35" t="s">
        <v>32</v>
      </c>
      <c r="H13" s="35" t="s">
        <v>32</v>
      </c>
      <c r="I13" s="35" t="s">
        <v>32</v>
      </c>
      <c r="J13" s="35" t="s">
        <v>32</v>
      </c>
      <c r="K13" s="35" t="s">
        <v>32</v>
      </c>
      <c r="L13" s="35">
        <v>54376</v>
      </c>
      <c r="M13" s="35">
        <v>6401</v>
      </c>
    </row>
    <row r="14" spans="2:13" ht="12.75">
      <c r="B14" s="34"/>
      <c r="C14" s="35" t="s">
        <v>27</v>
      </c>
      <c r="D14" s="34">
        <f>90247-73138</f>
        <v>17109</v>
      </c>
      <c r="E14" s="35">
        <f>665218-581449</f>
        <v>83769</v>
      </c>
      <c r="F14" s="37" t="s">
        <v>32</v>
      </c>
      <c r="G14" s="35" t="s">
        <v>32</v>
      </c>
      <c r="H14" s="35" t="s">
        <v>32</v>
      </c>
      <c r="I14" s="35" t="s">
        <v>32</v>
      </c>
      <c r="J14" s="35" t="s">
        <v>32</v>
      </c>
      <c r="K14" s="35" t="s">
        <v>32</v>
      </c>
      <c r="L14" s="35">
        <v>83769</v>
      </c>
      <c r="M14" s="35">
        <v>9860</v>
      </c>
    </row>
    <row r="15" spans="2:13" ht="12.75">
      <c r="B15" s="34"/>
      <c r="C15" s="35" t="s">
        <v>28</v>
      </c>
      <c r="D15" s="34">
        <f>98412-90247</f>
        <v>8165</v>
      </c>
      <c r="E15" s="35">
        <f>782800-665218</f>
        <v>117582</v>
      </c>
      <c r="F15" s="37" t="s">
        <v>32</v>
      </c>
      <c r="G15" s="35" t="s">
        <v>32</v>
      </c>
      <c r="H15" s="35" t="s">
        <v>32</v>
      </c>
      <c r="I15" s="35" t="s">
        <v>32</v>
      </c>
      <c r="J15" s="35" t="s">
        <v>32</v>
      </c>
      <c r="K15" s="35" t="s">
        <v>32</v>
      </c>
      <c r="L15" s="35">
        <v>117582</v>
      </c>
      <c r="M15" s="35">
        <v>13832</v>
      </c>
    </row>
    <row r="16" spans="2:13" ht="12.75">
      <c r="B16" s="34"/>
      <c r="C16" s="35" t="s">
        <v>29</v>
      </c>
      <c r="D16" s="34">
        <f>105217-98412</f>
        <v>6805</v>
      </c>
      <c r="E16" s="35">
        <f>861746-782800</f>
        <v>78946</v>
      </c>
      <c r="F16" s="37" t="s">
        <v>32</v>
      </c>
      <c r="G16" s="35" t="s">
        <v>32</v>
      </c>
      <c r="H16" s="35" t="s">
        <v>32</v>
      </c>
      <c r="I16" s="35" t="s">
        <v>32</v>
      </c>
      <c r="J16" s="35" t="s">
        <v>32</v>
      </c>
      <c r="K16" s="35" t="s">
        <v>32</v>
      </c>
      <c r="L16" s="35">
        <v>78946</v>
      </c>
      <c r="M16" s="35">
        <v>8836</v>
      </c>
    </row>
    <row r="17" spans="2:13" ht="13.5" thickBot="1">
      <c r="B17" s="34"/>
      <c r="C17" s="7" t="s">
        <v>30</v>
      </c>
      <c r="D17" s="9">
        <f>110240-105217</f>
        <v>5023</v>
      </c>
      <c r="E17" s="7">
        <f>931645-861746</f>
        <v>69899</v>
      </c>
      <c r="F17" s="10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>
        <v>69899</v>
      </c>
      <c r="M17" s="7">
        <v>8107</v>
      </c>
    </row>
    <row r="18" spans="2:13" ht="13.5" thickBot="1">
      <c r="B18" s="9"/>
      <c r="C18" s="39" t="s">
        <v>31</v>
      </c>
      <c r="D18" s="40">
        <v>110240</v>
      </c>
      <c r="E18" s="39">
        <v>931645</v>
      </c>
      <c r="F18" s="40" t="s">
        <v>32</v>
      </c>
      <c r="G18" s="39" t="s">
        <v>32</v>
      </c>
      <c r="H18" s="40" t="s">
        <v>32</v>
      </c>
      <c r="I18" s="39" t="s">
        <v>32</v>
      </c>
      <c r="J18" s="40" t="s">
        <v>32</v>
      </c>
      <c r="K18" s="39" t="s">
        <v>32</v>
      </c>
      <c r="L18" s="41">
        <v>931645</v>
      </c>
      <c r="M18" s="43">
        <v>109009</v>
      </c>
    </row>
    <row r="19" ht="13.5" thickBot="1"/>
    <row r="20" spans="2:13" ht="12.75">
      <c r="B20" s="11">
        <v>1837</v>
      </c>
      <c r="C20" s="4" t="s">
        <v>19</v>
      </c>
      <c r="D20" s="2" t="s">
        <v>34</v>
      </c>
      <c r="E20" s="3" t="s">
        <v>34</v>
      </c>
      <c r="F20" s="2" t="s">
        <v>34</v>
      </c>
      <c r="G20" s="2" t="s">
        <v>34</v>
      </c>
      <c r="H20" s="3" t="s">
        <v>34</v>
      </c>
      <c r="I20" s="2" t="s">
        <v>34</v>
      </c>
      <c r="J20" s="3" t="s">
        <v>34</v>
      </c>
      <c r="K20" s="2" t="s">
        <v>34</v>
      </c>
      <c r="L20" s="5" t="s">
        <v>34</v>
      </c>
      <c r="M20" s="2" t="s">
        <v>34</v>
      </c>
    </row>
    <row r="21" spans="2:13" ht="12.75">
      <c r="B21" s="35"/>
      <c r="C21" s="34" t="s">
        <v>20</v>
      </c>
      <c r="D21" s="35" t="s">
        <v>34</v>
      </c>
      <c r="E21" s="36" t="s">
        <v>34</v>
      </c>
      <c r="F21" s="35" t="s">
        <v>34</v>
      </c>
      <c r="G21" s="35" t="s">
        <v>34</v>
      </c>
      <c r="H21" s="36" t="s">
        <v>34</v>
      </c>
      <c r="I21" s="35" t="s">
        <v>34</v>
      </c>
      <c r="J21" s="36" t="s">
        <v>34</v>
      </c>
      <c r="K21" s="35" t="s">
        <v>34</v>
      </c>
      <c r="L21" s="37" t="s">
        <v>34</v>
      </c>
      <c r="M21" s="35" t="s">
        <v>34</v>
      </c>
    </row>
    <row r="22" spans="2:13" ht="12.75">
      <c r="B22" s="35"/>
      <c r="C22" s="34" t="s">
        <v>21</v>
      </c>
      <c r="D22" s="35" t="s">
        <v>34</v>
      </c>
      <c r="E22" s="36" t="s">
        <v>34</v>
      </c>
      <c r="F22" s="35" t="s">
        <v>34</v>
      </c>
      <c r="G22" s="35" t="s">
        <v>34</v>
      </c>
      <c r="H22" s="36" t="s">
        <v>34</v>
      </c>
      <c r="I22" s="35" t="s">
        <v>34</v>
      </c>
      <c r="J22" s="36" t="s">
        <v>34</v>
      </c>
      <c r="K22" s="35" t="s">
        <v>34</v>
      </c>
      <c r="L22" s="37" t="s">
        <v>34</v>
      </c>
      <c r="M22" s="35" t="s">
        <v>34</v>
      </c>
    </row>
    <row r="23" spans="2:13" ht="12.75">
      <c r="B23" s="35"/>
      <c r="C23" s="34" t="s">
        <v>22</v>
      </c>
      <c r="D23" s="35" t="s">
        <v>34</v>
      </c>
      <c r="E23" s="36" t="s">
        <v>34</v>
      </c>
      <c r="F23" s="35" t="s">
        <v>34</v>
      </c>
      <c r="G23" s="35" t="s">
        <v>34</v>
      </c>
      <c r="H23" s="36" t="s">
        <v>34</v>
      </c>
      <c r="I23" s="35" t="s">
        <v>34</v>
      </c>
      <c r="J23" s="36" t="s">
        <v>34</v>
      </c>
      <c r="K23" s="35" t="s">
        <v>34</v>
      </c>
      <c r="L23" s="37" t="s">
        <v>34</v>
      </c>
      <c r="M23" s="35" t="s">
        <v>34</v>
      </c>
    </row>
    <row r="24" spans="2:13" ht="12.75">
      <c r="B24" s="35"/>
      <c r="C24" s="34" t="s">
        <v>23</v>
      </c>
      <c r="D24" s="35" t="s">
        <v>34</v>
      </c>
      <c r="E24" s="36" t="s">
        <v>34</v>
      </c>
      <c r="F24" s="35" t="s">
        <v>34</v>
      </c>
      <c r="G24" s="35" t="s">
        <v>34</v>
      </c>
      <c r="H24" s="36" t="s">
        <v>34</v>
      </c>
      <c r="I24" s="35" t="s">
        <v>34</v>
      </c>
      <c r="J24" s="36" t="s">
        <v>34</v>
      </c>
      <c r="K24" s="35" t="s">
        <v>34</v>
      </c>
      <c r="L24" s="37" t="s">
        <v>34</v>
      </c>
      <c r="M24" s="35" t="s">
        <v>34</v>
      </c>
    </row>
    <row r="25" spans="2:13" ht="13.5" thickBot="1">
      <c r="B25" s="35"/>
      <c r="C25" s="34" t="s">
        <v>24</v>
      </c>
      <c r="D25" s="35" t="s">
        <v>34</v>
      </c>
      <c r="E25" s="36" t="s">
        <v>34</v>
      </c>
      <c r="F25" s="35" t="s">
        <v>34</v>
      </c>
      <c r="G25" s="35" t="s">
        <v>34</v>
      </c>
      <c r="H25" s="36" t="s">
        <v>34</v>
      </c>
      <c r="I25" s="35" t="s">
        <v>34</v>
      </c>
      <c r="J25" s="36" t="s">
        <v>34</v>
      </c>
      <c r="K25" s="35" t="s">
        <v>34</v>
      </c>
      <c r="L25" s="37" t="s">
        <v>34</v>
      </c>
      <c r="M25" s="35" t="s">
        <v>34</v>
      </c>
    </row>
    <row r="26" spans="2:19" ht="13.5" thickBot="1">
      <c r="B26" s="43" t="s">
        <v>49</v>
      </c>
      <c r="C26" s="42" t="s">
        <v>25</v>
      </c>
      <c r="D26" s="43">
        <v>3802</v>
      </c>
      <c r="E26" s="48"/>
      <c r="F26" s="43" t="s">
        <v>32</v>
      </c>
      <c r="G26" s="43" t="s">
        <v>32</v>
      </c>
      <c r="H26" s="44" t="s">
        <v>32</v>
      </c>
      <c r="I26" s="43" t="s">
        <v>32</v>
      </c>
      <c r="J26" s="44" t="s">
        <v>32</v>
      </c>
      <c r="K26" s="43" t="s">
        <v>32</v>
      </c>
      <c r="L26" s="48"/>
      <c r="M26" s="43"/>
      <c r="N26" s="33"/>
      <c r="O26" s="33"/>
      <c r="P26" s="33"/>
      <c r="Q26" s="33"/>
      <c r="R26" s="33"/>
      <c r="S26" s="33"/>
    </row>
    <row r="27" spans="2:13" ht="12.75">
      <c r="B27" s="34" t="s">
        <v>50</v>
      </c>
      <c r="C27" s="2" t="s">
        <v>25</v>
      </c>
      <c r="D27" s="4">
        <f>13558-D26</f>
        <v>9756</v>
      </c>
      <c r="E27" s="2">
        <v>90991</v>
      </c>
      <c r="F27" s="33"/>
      <c r="G27" s="2"/>
      <c r="H27" s="33"/>
      <c r="I27" s="2"/>
      <c r="J27" s="33"/>
      <c r="K27" s="4"/>
      <c r="L27" s="2">
        <v>90991</v>
      </c>
      <c r="M27" s="35">
        <v>10704</v>
      </c>
    </row>
    <row r="28" spans="2:13" ht="12.75">
      <c r="B28" s="34"/>
      <c r="C28" s="35" t="s">
        <v>26</v>
      </c>
      <c r="D28" s="34">
        <f>17139-D26</f>
        <v>13337</v>
      </c>
      <c r="E28" s="35">
        <f>133856-90991</f>
        <v>42865</v>
      </c>
      <c r="F28" s="36" t="s">
        <v>32</v>
      </c>
      <c r="G28" s="35" t="s">
        <v>32</v>
      </c>
      <c r="H28" s="36" t="s">
        <v>32</v>
      </c>
      <c r="I28" s="35" t="s">
        <v>32</v>
      </c>
      <c r="J28" s="36" t="s">
        <v>32</v>
      </c>
      <c r="K28" s="34" t="s">
        <v>32</v>
      </c>
      <c r="L28" s="35">
        <v>42865</v>
      </c>
      <c r="M28" s="35">
        <f>15747-M27</f>
        <v>5043</v>
      </c>
    </row>
    <row r="29" spans="2:13" ht="12.75">
      <c r="B29" s="34"/>
      <c r="C29" s="35" t="s">
        <v>27</v>
      </c>
      <c r="D29" s="34">
        <f>18701-17139</f>
        <v>1562</v>
      </c>
      <c r="E29" s="35">
        <f>151244-133856</f>
        <v>17388</v>
      </c>
      <c r="F29" s="36" t="s">
        <v>32</v>
      </c>
      <c r="G29" s="35" t="s">
        <v>32</v>
      </c>
      <c r="H29" s="36" t="s">
        <v>32</v>
      </c>
      <c r="I29" s="35" t="s">
        <v>32</v>
      </c>
      <c r="J29" s="36" t="s">
        <v>32</v>
      </c>
      <c r="K29" s="34" t="s">
        <v>32</v>
      </c>
      <c r="L29" s="35">
        <v>17388</v>
      </c>
      <c r="M29" s="35">
        <f>17793-15747</f>
        <v>2046</v>
      </c>
    </row>
    <row r="30" spans="2:13" ht="12.75">
      <c r="B30" s="36"/>
      <c r="C30" s="35" t="s">
        <v>28</v>
      </c>
      <c r="D30" s="34">
        <f>29089-18701</f>
        <v>10388</v>
      </c>
      <c r="E30" s="35">
        <f>215649-151244</f>
        <v>64405</v>
      </c>
      <c r="F30" s="36" t="s">
        <v>32</v>
      </c>
      <c r="G30" s="35" t="s">
        <v>32</v>
      </c>
      <c r="H30" s="36" t="s">
        <v>32</v>
      </c>
      <c r="I30" s="35" t="s">
        <v>32</v>
      </c>
      <c r="J30" s="36" t="s">
        <v>32</v>
      </c>
      <c r="K30" s="34" t="s">
        <v>32</v>
      </c>
      <c r="L30" s="35">
        <v>64405</v>
      </c>
      <c r="M30" s="35">
        <f>25370-17793</f>
        <v>7577</v>
      </c>
    </row>
    <row r="31" spans="2:13" ht="12.75">
      <c r="B31" s="36"/>
      <c r="C31" s="35" t="s">
        <v>29</v>
      </c>
      <c r="D31" s="34">
        <f>32085-29089</f>
        <v>2996</v>
      </c>
      <c r="E31" s="35">
        <f>261808-215649</f>
        <v>46159</v>
      </c>
      <c r="F31" s="36" t="s">
        <v>32</v>
      </c>
      <c r="G31" s="35" t="s">
        <v>32</v>
      </c>
      <c r="H31" s="36" t="s">
        <v>32</v>
      </c>
      <c r="I31" s="35" t="s">
        <v>32</v>
      </c>
      <c r="J31" s="36" t="s">
        <v>32</v>
      </c>
      <c r="K31" s="34" t="s">
        <v>32</v>
      </c>
      <c r="L31" s="35">
        <v>46159</v>
      </c>
      <c r="M31" s="35">
        <f>30804-25370</f>
        <v>5434</v>
      </c>
    </row>
    <row r="32" spans="3:13" ht="13.5" thickBot="1">
      <c r="C32" s="7" t="s">
        <v>30</v>
      </c>
      <c r="D32" s="9">
        <f>36332-32085</f>
        <v>4247</v>
      </c>
      <c r="E32" s="7">
        <f>296757-261808</f>
        <v>34949</v>
      </c>
      <c r="F32" s="8" t="s">
        <v>32</v>
      </c>
      <c r="G32" s="7" t="s">
        <v>32</v>
      </c>
      <c r="H32" s="8" t="s">
        <v>32</v>
      </c>
      <c r="I32" s="7" t="s">
        <v>32</v>
      </c>
      <c r="J32" s="8" t="s">
        <v>32</v>
      </c>
      <c r="K32" s="9" t="s">
        <v>32</v>
      </c>
      <c r="L32" s="7">
        <v>34949</v>
      </c>
      <c r="M32" s="35">
        <f>34916-30804</f>
        <v>4112</v>
      </c>
    </row>
    <row r="33" spans="3:13" ht="13.5" thickBot="1">
      <c r="C33" s="38" t="s">
        <v>33</v>
      </c>
      <c r="D33" s="39" t="s">
        <v>34</v>
      </c>
      <c r="E33" s="40" t="s">
        <v>34</v>
      </c>
      <c r="F33" s="39" t="s">
        <v>32</v>
      </c>
      <c r="G33" s="39" t="s">
        <v>32</v>
      </c>
      <c r="H33" s="40" t="s">
        <v>32</v>
      </c>
      <c r="I33" s="39" t="s">
        <v>32</v>
      </c>
      <c r="J33" s="40" t="s">
        <v>32</v>
      </c>
      <c r="K33" s="39" t="s">
        <v>32</v>
      </c>
      <c r="L33" s="41">
        <v>296757</v>
      </c>
      <c r="M33" s="39">
        <v>34916</v>
      </c>
    </row>
    <row r="34" ht="13.5" thickBot="1">
      <c r="B34" s="34"/>
    </row>
    <row r="35" spans="2:13" ht="12.75">
      <c r="B35" s="12">
        <v>1838</v>
      </c>
      <c r="C35" s="2" t="s">
        <v>19</v>
      </c>
      <c r="D35" s="2">
        <f>40173-36332</f>
        <v>3841</v>
      </c>
      <c r="E35" s="3">
        <f>328845-296757</f>
        <v>32088</v>
      </c>
      <c r="F35" s="2">
        <v>477</v>
      </c>
      <c r="G35" s="3">
        <v>626</v>
      </c>
      <c r="H35" s="2">
        <v>407</v>
      </c>
      <c r="I35" s="3" t="s">
        <v>32</v>
      </c>
      <c r="J35" s="2" t="s">
        <v>32</v>
      </c>
      <c r="K35" s="5" t="s">
        <v>32</v>
      </c>
      <c r="L35" s="2">
        <v>33597</v>
      </c>
      <c r="M35" s="2">
        <v>3952</v>
      </c>
    </row>
    <row r="36" spans="2:13" ht="12.75">
      <c r="B36" s="34"/>
      <c r="C36" s="35" t="s">
        <v>20</v>
      </c>
      <c r="D36" s="35">
        <f>42248-40173</f>
        <v>2075</v>
      </c>
      <c r="E36" s="36">
        <f>350206-328845</f>
        <v>21361</v>
      </c>
      <c r="F36" s="35" t="s">
        <v>32</v>
      </c>
      <c r="G36" s="36" t="s">
        <v>32</v>
      </c>
      <c r="H36" s="35" t="s">
        <v>32</v>
      </c>
      <c r="I36" s="36" t="s">
        <v>32</v>
      </c>
      <c r="J36" s="35" t="s">
        <v>32</v>
      </c>
      <c r="K36" s="37" t="s">
        <v>32</v>
      </c>
      <c r="L36" s="35">
        <v>21361</v>
      </c>
      <c r="M36" s="35">
        <v>2513</v>
      </c>
    </row>
    <row r="37" spans="2:13" ht="12.75">
      <c r="B37" s="34"/>
      <c r="C37" s="35" t="s">
        <v>21</v>
      </c>
      <c r="D37" s="35">
        <f>52750-42248</f>
        <v>10502</v>
      </c>
      <c r="E37" s="36">
        <f>428497-350206</f>
        <v>78291</v>
      </c>
      <c r="F37" s="35" t="s">
        <v>32</v>
      </c>
      <c r="G37" s="36" t="s">
        <v>32</v>
      </c>
      <c r="H37" s="35" t="s">
        <v>32</v>
      </c>
      <c r="I37" s="36" t="s">
        <v>32</v>
      </c>
      <c r="J37" s="35" t="s">
        <v>32</v>
      </c>
      <c r="K37" s="37" t="s">
        <v>32</v>
      </c>
      <c r="L37" s="35">
        <v>78291</v>
      </c>
      <c r="M37" s="35">
        <v>9210</v>
      </c>
    </row>
    <row r="38" spans="2:13" ht="12.75">
      <c r="B38" s="34"/>
      <c r="C38" s="35" t="s">
        <v>22</v>
      </c>
      <c r="D38" s="35">
        <f>55193-52750</f>
        <v>2443</v>
      </c>
      <c r="E38" s="36">
        <f>464537-428497</f>
        <v>36040</v>
      </c>
      <c r="F38" s="35" t="s">
        <v>32</v>
      </c>
      <c r="G38" s="36" t="s">
        <v>32</v>
      </c>
      <c r="H38" s="35" t="s">
        <v>32</v>
      </c>
      <c r="I38" s="36" t="s">
        <v>32</v>
      </c>
      <c r="J38" s="35" t="s">
        <v>32</v>
      </c>
      <c r="K38" s="37" t="s">
        <v>32</v>
      </c>
      <c r="L38" s="35">
        <v>36040</v>
      </c>
      <c r="M38" s="35">
        <v>4239</v>
      </c>
    </row>
    <row r="39" spans="2:13" ht="12.75">
      <c r="B39" s="34"/>
      <c r="C39" s="35" t="s">
        <v>23</v>
      </c>
      <c r="D39" s="35">
        <f>61453-55193</f>
        <v>6260</v>
      </c>
      <c r="E39" s="36">
        <f>494316-464537</f>
        <v>29779</v>
      </c>
      <c r="F39" s="35" t="s">
        <v>32</v>
      </c>
      <c r="G39" s="36" t="s">
        <v>32</v>
      </c>
      <c r="H39" s="35" t="s">
        <v>32</v>
      </c>
      <c r="I39" s="36" t="s">
        <v>32</v>
      </c>
      <c r="J39" s="35" t="s">
        <v>32</v>
      </c>
      <c r="K39" s="37" t="s">
        <v>32</v>
      </c>
      <c r="L39" s="35">
        <v>29779</v>
      </c>
      <c r="M39" s="35">
        <v>3503</v>
      </c>
    </row>
    <row r="40" spans="2:13" ht="12.75">
      <c r="B40" s="34"/>
      <c r="C40" s="35" t="s">
        <v>24</v>
      </c>
      <c r="D40" s="35">
        <f>71685-61453</f>
        <v>10232</v>
      </c>
      <c r="E40" s="36">
        <f>567723-494316</f>
        <v>73407</v>
      </c>
      <c r="F40" s="35" t="s">
        <v>32</v>
      </c>
      <c r="G40" s="36" t="s">
        <v>32</v>
      </c>
      <c r="H40" s="35" t="s">
        <v>32</v>
      </c>
      <c r="I40" s="36" t="s">
        <v>32</v>
      </c>
      <c r="J40" s="35" t="s">
        <v>32</v>
      </c>
      <c r="K40" s="37" t="s">
        <v>32</v>
      </c>
      <c r="L40" s="35">
        <v>73407</v>
      </c>
      <c r="M40" s="35">
        <v>8603</v>
      </c>
    </row>
    <row r="41" spans="2:13" ht="12.75">
      <c r="B41" s="34"/>
      <c r="C41" s="35" t="s">
        <v>25</v>
      </c>
      <c r="D41" s="35">
        <f>73334-71685</f>
        <v>1649</v>
      </c>
      <c r="E41" s="36">
        <f>611137-567723</f>
        <v>43414</v>
      </c>
      <c r="F41" s="35" t="s">
        <v>32</v>
      </c>
      <c r="G41" s="36" t="s">
        <v>32</v>
      </c>
      <c r="H41" s="35" t="s">
        <v>32</v>
      </c>
      <c r="I41" s="36" t="s">
        <v>32</v>
      </c>
      <c r="J41" s="35" t="s">
        <v>32</v>
      </c>
      <c r="K41" s="37" t="s">
        <v>32</v>
      </c>
      <c r="L41" s="35">
        <v>42414</v>
      </c>
      <c r="M41" s="35">
        <v>5107</v>
      </c>
    </row>
    <row r="42" spans="2:13" ht="12.75">
      <c r="B42" s="34"/>
      <c r="C42" s="35" t="s">
        <v>26</v>
      </c>
      <c r="D42" s="35">
        <f>83440-73334</f>
        <v>10106</v>
      </c>
      <c r="E42" s="36">
        <f>669292-611137</f>
        <v>58155</v>
      </c>
      <c r="F42" s="35" t="s">
        <v>32</v>
      </c>
      <c r="G42" s="36" t="s">
        <v>32</v>
      </c>
      <c r="H42" s="35" t="s">
        <v>32</v>
      </c>
      <c r="I42" s="36" t="s">
        <v>32</v>
      </c>
      <c r="J42" s="35" t="s">
        <v>32</v>
      </c>
      <c r="K42" s="37" t="s">
        <v>32</v>
      </c>
      <c r="L42" s="35">
        <v>58155</v>
      </c>
      <c r="M42" s="35">
        <v>6741</v>
      </c>
    </row>
    <row r="43" spans="2:13" ht="12.75">
      <c r="B43" s="34"/>
      <c r="C43" s="35" t="s">
        <v>27</v>
      </c>
      <c r="D43" s="35">
        <f>88257-83440</f>
        <v>4817</v>
      </c>
      <c r="E43" s="36">
        <f>741592-669292</f>
        <v>72300</v>
      </c>
      <c r="F43" s="35" t="s">
        <v>32</v>
      </c>
      <c r="G43" s="36" t="s">
        <v>32</v>
      </c>
      <c r="H43" s="35" t="s">
        <v>32</v>
      </c>
      <c r="I43" s="36" t="s">
        <v>32</v>
      </c>
      <c r="J43" s="35" t="s">
        <v>32</v>
      </c>
      <c r="K43" s="37">
        <v>316</v>
      </c>
      <c r="L43" s="35">
        <v>72300</v>
      </c>
      <c r="M43" s="35">
        <v>8505</v>
      </c>
    </row>
    <row r="44" spans="2:13" ht="12.75">
      <c r="B44" s="34"/>
      <c r="C44" s="35" t="s">
        <v>28</v>
      </c>
      <c r="D44" s="35">
        <f>91207-88297</f>
        <v>2910</v>
      </c>
      <c r="E44" s="36">
        <f>769278-741592</f>
        <v>27686</v>
      </c>
      <c r="F44" s="35" t="s">
        <v>32</v>
      </c>
      <c r="G44" s="36" t="s">
        <v>32</v>
      </c>
      <c r="H44" s="35" t="s">
        <v>32</v>
      </c>
      <c r="I44" s="36" t="s">
        <v>32</v>
      </c>
      <c r="J44" s="35" t="s">
        <v>32</v>
      </c>
      <c r="K44" s="37">
        <v>104</v>
      </c>
      <c r="L44" s="35">
        <v>27686</v>
      </c>
      <c r="M44" s="35">
        <v>3257</v>
      </c>
    </row>
    <row r="45" spans="2:13" ht="12.75">
      <c r="B45" s="36"/>
      <c r="C45" s="35" t="s">
        <v>29</v>
      </c>
      <c r="D45" s="35">
        <f>99281-91207</f>
        <v>8074</v>
      </c>
      <c r="E45" s="36">
        <f>815000-769278</f>
        <v>45722</v>
      </c>
      <c r="F45" s="35" t="s">
        <v>32</v>
      </c>
      <c r="G45" s="36" t="s">
        <v>32</v>
      </c>
      <c r="H45" s="35" t="s">
        <v>32</v>
      </c>
      <c r="I45" s="36" t="s">
        <v>32</v>
      </c>
      <c r="J45" s="35" t="s">
        <v>32</v>
      </c>
      <c r="K45" s="37" t="s">
        <v>32</v>
      </c>
      <c r="L45" s="35">
        <v>45722</v>
      </c>
      <c r="M45" s="35">
        <v>5379</v>
      </c>
    </row>
    <row r="46" spans="3:13" ht="13.5" thickBot="1">
      <c r="C46" s="7" t="s">
        <v>30</v>
      </c>
      <c r="D46" s="35">
        <f>100651-99281</f>
        <v>1370</v>
      </c>
      <c r="E46" s="36">
        <f>848120-815000</f>
        <v>33120</v>
      </c>
      <c r="F46" s="35" t="s">
        <v>32</v>
      </c>
      <c r="G46" s="36" t="s">
        <v>32</v>
      </c>
      <c r="H46" s="35" t="s">
        <v>32</v>
      </c>
      <c r="I46" s="36" t="s">
        <v>32</v>
      </c>
      <c r="J46" s="35" t="s">
        <v>32</v>
      </c>
      <c r="K46" s="37" t="s">
        <v>32</v>
      </c>
      <c r="L46" s="35">
        <v>33120</v>
      </c>
      <c r="M46" s="7">
        <v>3896</v>
      </c>
    </row>
    <row r="47" spans="3:13" ht="13.5" thickBot="1">
      <c r="C47" s="38" t="s">
        <v>33</v>
      </c>
      <c r="D47" s="39">
        <v>64279</v>
      </c>
      <c r="E47" s="40">
        <v>551363</v>
      </c>
      <c r="F47" s="39">
        <v>477</v>
      </c>
      <c r="G47" s="40">
        <v>626</v>
      </c>
      <c r="H47" s="39">
        <v>407</v>
      </c>
      <c r="I47" s="40" t="s">
        <v>32</v>
      </c>
      <c r="J47" s="39" t="s">
        <v>32</v>
      </c>
      <c r="K47" s="41">
        <v>420</v>
      </c>
      <c r="L47" s="39">
        <v>551872</v>
      </c>
      <c r="M47" s="39">
        <v>64905</v>
      </c>
    </row>
    <row r="48" ht="13.5" thickBot="1"/>
    <row r="49" spans="2:13" ht="12.75">
      <c r="B49" s="4"/>
      <c r="C49" s="2"/>
      <c r="D49" s="3" t="s">
        <v>4</v>
      </c>
      <c r="E49" s="2" t="s">
        <v>9</v>
      </c>
      <c r="F49" s="3"/>
      <c r="G49" s="2"/>
      <c r="H49" s="3"/>
      <c r="I49" s="2"/>
      <c r="J49" s="3"/>
      <c r="K49" s="2"/>
      <c r="L49" s="5" t="s">
        <v>18</v>
      </c>
      <c r="M49" s="2" t="s">
        <v>18</v>
      </c>
    </row>
    <row r="50" spans="2:13" ht="13.5" thickBot="1">
      <c r="B50" s="9" t="s">
        <v>8</v>
      </c>
      <c r="C50" s="7" t="s">
        <v>1</v>
      </c>
      <c r="D50" s="8" t="s">
        <v>5</v>
      </c>
      <c r="E50" s="7" t="s">
        <v>10</v>
      </c>
      <c r="F50" s="8" t="s">
        <v>11</v>
      </c>
      <c r="G50" s="7" t="s">
        <v>12</v>
      </c>
      <c r="H50" s="8" t="s">
        <v>13</v>
      </c>
      <c r="I50" s="7" t="s">
        <v>14</v>
      </c>
      <c r="J50" s="8" t="s">
        <v>15</v>
      </c>
      <c r="K50" s="7" t="s">
        <v>16</v>
      </c>
      <c r="L50" s="10" t="s">
        <v>17</v>
      </c>
      <c r="M50" s="7" t="s">
        <v>36</v>
      </c>
    </row>
    <row r="51" ht="13.5" thickBot="1">
      <c r="B51" s="11">
        <v>1839</v>
      </c>
    </row>
    <row r="52" spans="2:13" ht="13.5" thickBot="1">
      <c r="B52" s="49" t="s">
        <v>49</v>
      </c>
      <c r="C52" s="42" t="s">
        <v>35</v>
      </c>
      <c r="D52" s="43">
        <v>719</v>
      </c>
      <c r="E52" s="46"/>
      <c r="F52" s="43" t="s">
        <v>32</v>
      </c>
      <c r="G52" s="46"/>
      <c r="H52" s="48"/>
      <c r="I52" s="46"/>
      <c r="J52" s="48"/>
      <c r="K52" s="46"/>
      <c r="L52" s="48"/>
      <c r="M52" s="47"/>
    </row>
    <row r="53" spans="2:13" ht="12.75">
      <c r="B53" s="1" t="s">
        <v>50</v>
      </c>
      <c r="C53" s="34" t="s">
        <v>35</v>
      </c>
      <c r="D53" s="35">
        <f>4506-D52</f>
        <v>3787</v>
      </c>
      <c r="E53" s="36">
        <v>24453</v>
      </c>
      <c r="F53" s="50"/>
      <c r="G53" s="36">
        <v>260</v>
      </c>
      <c r="H53" s="35">
        <v>503</v>
      </c>
      <c r="I53" s="36" t="s">
        <v>32</v>
      </c>
      <c r="J53" s="35" t="s">
        <v>32</v>
      </c>
      <c r="K53" s="36" t="s">
        <v>32</v>
      </c>
      <c r="L53" s="35">
        <v>25217</v>
      </c>
      <c r="M53" s="2">
        <v>2964</v>
      </c>
    </row>
    <row r="54" spans="2:13" ht="12.75">
      <c r="B54" s="34"/>
      <c r="C54" s="34" t="s">
        <v>20</v>
      </c>
      <c r="D54" s="35">
        <f>6790-4506</f>
        <v>2284</v>
      </c>
      <c r="E54" s="36">
        <f>52983-E53</f>
        <v>28530</v>
      </c>
      <c r="F54" s="35" t="s">
        <v>32</v>
      </c>
      <c r="G54" s="36" t="s">
        <v>32</v>
      </c>
      <c r="H54" s="35" t="s">
        <v>32</v>
      </c>
      <c r="I54" s="36" t="s">
        <v>32</v>
      </c>
      <c r="J54" s="35" t="s">
        <v>32</v>
      </c>
      <c r="K54" s="36" t="s">
        <v>32</v>
      </c>
      <c r="L54" s="35">
        <v>28530</v>
      </c>
      <c r="M54" s="35">
        <v>3353</v>
      </c>
    </row>
    <row r="55" spans="2:13" ht="12.75">
      <c r="B55" s="34"/>
      <c r="C55" s="34" t="s">
        <v>21</v>
      </c>
      <c r="D55" s="35">
        <f>19316-6790</f>
        <v>12526</v>
      </c>
      <c r="E55" s="36">
        <f>114788-52983</f>
        <v>61805</v>
      </c>
      <c r="F55" s="35" t="s">
        <v>32</v>
      </c>
      <c r="G55" s="36" t="s">
        <v>32</v>
      </c>
      <c r="H55" s="35" t="s">
        <v>32</v>
      </c>
      <c r="I55" s="36" t="s">
        <v>32</v>
      </c>
      <c r="J55" s="35" t="s">
        <v>32</v>
      </c>
      <c r="K55" s="36" t="s">
        <v>32</v>
      </c>
      <c r="L55" s="35">
        <v>61805</v>
      </c>
      <c r="M55" s="35">
        <v>7263</v>
      </c>
    </row>
    <row r="56" spans="2:13" ht="12.75">
      <c r="B56" s="34"/>
      <c r="C56" s="34" t="s">
        <v>22</v>
      </c>
      <c r="D56" s="35">
        <f>22659-19316</f>
        <v>3343</v>
      </c>
      <c r="E56" s="36">
        <f>180812-114788</f>
        <v>66024</v>
      </c>
      <c r="F56" s="35" t="s">
        <v>32</v>
      </c>
      <c r="G56" s="36" t="s">
        <v>32</v>
      </c>
      <c r="H56" s="35" t="s">
        <v>32</v>
      </c>
      <c r="I56" s="36" t="s">
        <v>32</v>
      </c>
      <c r="J56" s="35" t="s">
        <v>32</v>
      </c>
      <c r="K56" s="36">
        <v>297</v>
      </c>
      <c r="L56" s="35">
        <v>66204</v>
      </c>
      <c r="M56" s="35">
        <v>7761</v>
      </c>
    </row>
    <row r="57" spans="2:13" ht="12.75">
      <c r="B57" s="34"/>
      <c r="C57" s="34" t="s">
        <v>23</v>
      </c>
      <c r="D57" s="35">
        <f>27871-22659</f>
        <v>5212</v>
      </c>
      <c r="E57" s="36">
        <f>3871+2660+3568+4235+3011+3138+5673</f>
        <v>26156</v>
      </c>
      <c r="F57" s="35" t="s">
        <v>32</v>
      </c>
      <c r="G57" s="36" t="s">
        <v>32</v>
      </c>
      <c r="H57" s="35" t="s">
        <v>32</v>
      </c>
      <c r="I57" s="36" t="s">
        <v>32</v>
      </c>
      <c r="J57" s="35" t="s">
        <v>32</v>
      </c>
      <c r="K57" s="36" t="s">
        <v>32</v>
      </c>
      <c r="L57" s="35">
        <v>26156</v>
      </c>
      <c r="M57" s="35">
        <v>3074</v>
      </c>
    </row>
    <row r="58" spans="2:13" ht="12.75">
      <c r="B58" s="34"/>
      <c r="C58" s="34" t="s">
        <v>24</v>
      </c>
      <c r="D58" s="35">
        <f>33663-27871</f>
        <v>5792</v>
      </c>
      <c r="E58" s="36">
        <f>3946+3511+3860+5076+4471+3804+4386+4531+4715+3816+5278+2617+3994+2872</f>
        <v>56877</v>
      </c>
      <c r="F58" s="35" t="s">
        <v>32</v>
      </c>
      <c r="G58" s="36" t="s">
        <v>32</v>
      </c>
      <c r="H58" s="35" t="s">
        <v>32</v>
      </c>
      <c r="I58" s="36" t="s">
        <v>32</v>
      </c>
      <c r="J58" s="35" t="s">
        <v>32</v>
      </c>
      <c r="K58" s="36" t="s">
        <v>32</v>
      </c>
      <c r="L58" s="35">
        <v>56877</v>
      </c>
      <c r="M58" s="35">
        <v>6684</v>
      </c>
    </row>
    <row r="59" spans="2:13" ht="12.75">
      <c r="B59" s="34"/>
      <c r="C59" s="34" t="s">
        <v>25</v>
      </c>
      <c r="D59" s="35">
        <f>41130-33663</f>
        <v>7467</v>
      </c>
      <c r="E59" s="36">
        <f>2871+4265+3326+3969+4029+4951+3170+4203+3012+4730+3321+3755+5103+7986</f>
        <v>58691</v>
      </c>
      <c r="F59" s="35" t="s">
        <v>32</v>
      </c>
      <c r="G59" s="36" t="s">
        <v>32</v>
      </c>
      <c r="H59" s="35" t="s">
        <v>32</v>
      </c>
      <c r="I59" s="36" t="s">
        <v>32</v>
      </c>
      <c r="J59" s="35" t="s">
        <v>32</v>
      </c>
      <c r="K59" s="36" t="s">
        <v>32</v>
      </c>
      <c r="L59" s="35">
        <v>58696</v>
      </c>
      <c r="M59" s="35">
        <v>6893</v>
      </c>
    </row>
    <row r="60" spans="2:13" ht="12.75">
      <c r="B60" s="34"/>
      <c r="C60" s="34" t="s">
        <v>26</v>
      </c>
      <c r="D60" s="35">
        <f>42689-41130</f>
        <v>1559</v>
      </c>
      <c r="E60" s="36">
        <f>4356+3878+4616+5577+3262</f>
        <v>21689</v>
      </c>
      <c r="F60" s="35" t="s">
        <v>32</v>
      </c>
      <c r="G60" s="36" t="s">
        <v>32</v>
      </c>
      <c r="H60" s="35" t="s">
        <v>32</v>
      </c>
      <c r="I60" s="36" t="s">
        <v>32</v>
      </c>
      <c r="J60" s="35" t="s">
        <v>32</v>
      </c>
      <c r="K60" s="36" t="s">
        <v>32</v>
      </c>
      <c r="L60" s="35">
        <v>21669</v>
      </c>
      <c r="M60" s="35">
        <v>2546</v>
      </c>
    </row>
    <row r="61" spans="2:13" ht="12.75">
      <c r="B61" s="34"/>
      <c r="C61" s="34" t="s">
        <v>27</v>
      </c>
      <c r="D61" s="35">
        <f>51327-42689</f>
        <v>8638</v>
      </c>
      <c r="E61" s="36">
        <f>3418+4925+3878+4115+4122+3829+9065+3604+3508+5178+3432</f>
        <v>49074</v>
      </c>
      <c r="F61" s="35" t="s">
        <v>32</v>
      </c>
      <c r="G61" s="36" t="s">
        <v>32</v>
      </c>
      <c r="H61" s="35">
        <v>415</v>
      </c>
      <c r="I61" s="36" t="s">
        <v>32</v>
      </c>
      <c r="J61" s="35" t="s">
        <v>32</v>
      </c>
      <c r="K61" s="36" t="s">
        <v>32</v>
      </c>
      <c r="L61" s="35">
        <v>49074</v>
      </c>
      <c r="M61" s="35">
        <v>5768</v>
      </c>
    </row>
    <row r="62" spans="2:13" ht="12.75">
      <c r="B62" s="34"/>
      <c r="C62" s="34" t="s">
        <v>28</v>
      </c>
      <c r="D62" s="35">
        <f>58688-51327</f>
        <v>7361</v>
      </c>
      <c r="E62" s="36">
        <f>5792+3188+3310+6568+3430+3500+6534+4405+4178+4257+6083+3427+6186+2838</f>
        <v>63696</v>
      </c>
      <c r="F62" s="35" t="s">
        <v>32</v>
      </c>
      <c r="G62" s="36" t="s">
        <v>32</v>
      </c>
      <c r="H62" s="35" t="s">
        <v>32</v>
      </c>
      <c r="I62" s="36" t="s">
        <v>32</v>
      </c>
      <c r="J62" s="35" t="s">
        <v>32</v>
      </c>
      <c r="K62" s="36" t="s">
        <v>32</v>
      </c>
      <c r="L62" s="35">
        <v>63696</v>
      </c>
      <c r="M62" s="35">
        <v>7486</v>
      </c>
    </row>
    <row r="63" spans="2:13" ht="12.75">
      <c r="B63" s="34"/>
      <c r="C63" s="34" t="s">
        <v>29</v>
      </c>
      <c r="D63" s="35">
        <f>62770-58688</f>
        <v>4082</v>
      </c>
      <c r="E63" s="36">
        <f>6258+4728+6180+4536+4027+4401+3933+2420+3960+2015+3677+3546</f>
        <v>49681</v>
      </c>
      <c r="F63" s="35" t="s">
        <v>32</v>
      </c>
      <c r="G63" s="36" t="s">
        <v>32</v>
      </c>
      <c r="H63" s="35" t="s">
        <v>32</v>
      </c>
      <c r="I63" s="36" t="s">
        <v>32</v>
      </c>
      <c r="J63" s="35" t="s">
        <v>32</v>
      </c>
      <c r="K63" s="36" t="s">
        <v>32</v>
      </c>
      <c r="L63" s="35">
        <v>50096</v>
      </c>
      <c r="M63" s="35">
        <v>5887</v>
      </c>
    </row>
    <row r="64" spans="2:13" ht="13.5" thickBot="1">
      <c r="B64" s="9"/>
      <c r="C64" s="9" t="s">
        <v>30</v>
      </c>
      <c r="D64" s="7">
        <f>72029-62770</f>
        <v>9259</v>
      </c>
      <c r="E64" s="36">
        <f>3236+4617+3000+3584+4000+4000+4175+4205+5678+3692+7392+5512+6604+7295+5245+5103+6348</f>
        <v>83686</v>
      </c>
      <c r="F64" s="7" t="s">
        <v>32</v>
      </c>
      <c r="G64" s="36" t="s">
        <v>32</v>
      </c>
      <c r="H64" s="7" t="s">
        <v>32</v>
      </c>
      <c r="I64" s="36" t="s">
        <v>32</v>
      </c>
      <c r="J64" s="35" t="s">
        <v>32</v>
      </c>
      <c r="K64" s="36" t="s">
        <v>32</v>
      </c>
      <c r="L64" s="7">
        <v>83686</v>
      </c>
      <c r="M64" s="35">
        <v>9834</v>
      </c>
    </row>
    <row r="65" spans="2:13" ht="13.5" thickBot="1">
      <c r="B65" s="33"/>
      <c r="C65" s="38" t="s">
        <v>33</v>
      </c>
      <c r="D65" s="39">
        <v>72029</v>
      </c>
      <c r="E65" s="40">
        <v>590362</v>
      </c>
      <c r="F65" s="39" t="s">
        <v>32</v>
      </c>
      <c r="G65" s="40">
        <v>260</v>
      </c>
      <c r="H65" s="39">
        <v>918</v>
      </c>
      <c r="I65" s="40" t="s">
        <v>32</v>
      </c>
      <c r="J65" s="39" t="s">
        <v>32</v>
      </c>
      <c r="K65" s="40">
        <v>297</v>
      </c>
      <c r="L65" s="39">
        <v>591706</v>
      </c>
      <c r="M65" s="39">
        <v>69513</v>
      </c>
    </row>
    <row r="66" ht="13.5" thickBot="1"/>
    <row r="67" ht="13.5" thickBot="1">
      <c r="B67" s="11">
        <v>1840</v>
      </c>
    </row>
    <row r="68" spans="2:13" ht="13.5" thickBot="1">
      <c r="B68" s="1" t="s">
        <v>49</v>
      </c>
      <c r="C68" s="4" t="s">
        <v>19</v>
      </c>
      <c r="D68" s="42">
        <v>2374</v>
      </c>
      <c r="E68" s="48"/>
      <c r="F68" s="46"/>
      <c r="G68" s="48"/>
      <c r="H68" s="46"/>
      <c r="I68" s="48"/>
      <c r="J68" s="46"/>
      <c r="K68" s="48"/>
      <c r="L68" s="46"/>
      <c r="M68" s="48"/>
    </row>
    <row r="69" spans="2:13" ht="12.75">
      <c r="B69" s="1" t="s">
        <v>50</v>
      </c>
      <c r="C69" s="2" t="s">
        <v>19</v>
      </c>
      <c r="D69" s="34">
        <f>10470-D68</f>
        <v>8096</v>
      </c>
      <c r="E69" s="35">
        <v>54582</v>
      </c>
      <c r="F69" s="36">
        <v>182</v>
      </c>
      <c r="G69" s="35">
        <v>235</v>
      </c>
      <c r="H69" s="36">
        <v>328</v>
      </c>
      <c r="I69" s="35" t="s">
        <v>32</v>
      </c>
      <c r="J69" s="36" t="s">
        <v>32</v>
      </c>
      <c r="K69" s="35" t="s">
        <v>32</v>
      </c>
      <c r="L69" s="36">
        <v>55328</v>
      </c>
      <c r="M69" s="35">
        <v>6502</v>
      </c>
    </row>
    <row r="70" spans="2:13" ht="12.75">
      <c r="B70" s="34"/>
      <c r="C70" s="35" t="s">
        <v>20</v>
      </c>
      <c r="D70" s="34">
        <f>12037-10470</f>
        <v>1567</v>
      </c>
      <c r="E70" s="35">
        <f>94936-E69</f>
        <v>40354</v>
      </c>
      <c r="F70" s="36" t="s">
        <v>32</v>
      </c>
      <c r="G70" s="35" t="s">
        <v>32</v>
      </c>
      <c r="H70" s="36">
        <v>351</v>
      </c>
      <c r="I70" s="35" t="s">
        <v>32</v>
      </c>
      <c r="J70" s="36" t="s">
        <v>32</v>
      </c>
      <c r="K70" s="35">
        <v>381</v>
      </c>
      <c r="L70" s="36">
        <v>40705</v>
      </c>
      <c r="M70" s="35">
        <v>4783</v>
      </c>
    </row>
    <row r="71" spans="2:13" ht="12.75">
      <c r="B71" s="34"/>
      <c r="C71" s="35" t="s">
        <v>21</v>
      </c>
      <c r="D71" s="34">
        <f>23660-12037</f>
        <v>11623</v>
      </c>
      <c r="E71" s="35">
        <f>174352-94936</f>
        <v>79416</v>
      </c>
      <c r="F71" s="36" t="s">
        <v>32</v>
      </c>
      <c r="G71" s="35" t="s">
        <v>32</v>
      </c>
      <c r="H71" s="36" t="s">
        <v>32</v>
      </c>
      <c r="I71" s="35" t="s">
        <v>32</v>
      </c>
      <c r="J71" s="36" t="s">
        <v>32</v>
      </c>
      <c r="K71" s="35" t="s">
        <v>32</v>
      </c>
      <c r="L71" s="36">
        <v>79416</v>
      </c>
      <c r="M71" s="35">
        <v>9333</v>
      </c>
    </row>
    <row r="72" spans="2:13" ht="12.75">
      <c r="B72" s="34"/>
      <c r="C72" s="35" t="s">
        <v>22</v>
      </c>
      <c r="D72" s="34">
        <f>37091-23660</f>
        <v>13431</v>
      </c>
      <c r="E72" s="35">
        <f>271535-174352</f>
        <v>97183</v>
      </c>
      <c r="F72" s="36" t="s">
        <v>32</v>
      </c>
      <c r="G72" s="35" t="s">
        <v>32</v>
      </c>
      <c r="H72" s="36" t="s">
        <v>32</v>
      </c>
      <c r="I72" s="35" t="s">
        <v>32</v>
      </c>
      <c r="J72" s="36" t="s">
        <v>32</v>
      </c>
      <c r="K72" s="35">
        <v>100</v>
      </c>
      <c r="L72" s="36">
        <v>97183</v>
      </c>
      <c r="M72" s="35">
        <v>11420</v>
      </c>
    </row>
    <row r="73" spans="2:13" ht="12.75">
      <c r="B73" s="34"/>
      <c r="C73" s="35" t="s">
        <v>23</v>
      </c>
      <c r="D73" s="34">
        <f>41896-37091</f>
        <v>4805</v>
      </c>
      <c r="E73" s="35">
        <f>347720-271535</f>
        <v>76185</v>
      </c>
      <c r="F73" s="36" t="s">
        <v>32</v>
      </c>
      <c r="G73" s="35" t="s">
        <v>32</v>
      </c>
      <c r="H73" s="36" t="s">
        <v>32</v>
      </c>
      <c r="I73" s="35" t="s">
        <v>32</v>
      </c>
      <c r="J73" s="36" t="s">
        <v>32</v>
      </c>
      <c r="K73" s="35">
        <v>28</v>
      </c>
      <c r="L73" s="36">
        <v>76185</v>
      </c>
      <c r="M73" s="35">
        <v>8952</v>
      </c>
    </row>
    <row r="74" spans="2:13" ht="12.75">
      <c r="B74" s="34"/>
      <c r="C74" s="35" t="s">
        <v>24</v>
      </c>
      <c r="D74" s="34">
        <f>54733-41896</f>
        <v>12837</v>
      </c>
      <c r="E74" s="35">
        <f>437854-347720</f>
        <v>90134</v>
      </c>
      <c r="F74" s="36" t="s">
        <v>32</v>
      </c>
      <c r="G74" s="35" t="s">
        <v>32</v>
      </c>
      <c r="H74" s="36" t="s">
        <v>32</v>
      </c>
      <c r="I74" s="35" t="s">
        <v>32</v>
      </c>
      <c r="J74" s="36" t="s">
        <v>32</v>
      </c>
      <c r="K74" s="35" t="s">
        <v>32</v>
      </c>
      <c r="L74" s="36">
        <v>90134</v>
      </c>
      <c r="M74" s="35">
        <v>10594</v>
      </c>
    </row>
    <row r="75" spans="2:13" ht="12.75">
      <c r="B75" s="34"/>
      <c r="C75" s="35" t="s">
        <v>25</v>
      </c>
      <c r="D75" s="34">
        <f>62075-54733</f>
        <v>7342</v>
      </c>
      <c r="E75" s="35">
        <f>497362-437854</f>
        <v>59508</v>
      </c>
      <c r="F75" s="36" t="s">
        <v>32</v>
      </c>
      <c r="G75" s="35" t="s">
        <v>32</v>
      </c>
      <c r="H75" s="36" t="s">
        <v>32</v>
      </c>
      <c r="I75" s="35" t="s">
        <v>32</v>
      </c>
      <c r="J75" s="36" t="s">
        <v>32</v>
      </c>
      <c r="K75" s="35" t="s">
        <v>32</v>
      </c>
      <c r="L75" s="36">
        <v>59508</v>
      </c>
      <c r="M75" s="35">
        <v>6993</v>
      </c>
    </row>
    <row r="76" spans="2:13" ht="12.75">
      <c r="B76" s="34"/>
      <c r="C76" s="35" t="s">
        <v>26</v>
      </c>
      <c r="D76" s="34">
        <f>70632-62075</f>
        <v>8557</v>
      </c>
      <c r="E76" s="35">
        <f>586663-497362</f>
        <v>89301</v>
      </c>
      <c r="F76" s="36" t="s">
        <v>32</v>
      </c>
      <c r="G76" s="35" t="s">
        <v>32</v>
      </c>
      <c r="H76" s="36" t="s">
        <v>32</v>
      </c>
      <c r="I76" s="35" t="s">
        <v>32</v>
      </c>
      <c r="J76" s="36" t="s">
        <v>32</v>
      </c>
      <c r="K76" s="35" t="s">
        <v>32</v>
      </c>
      <c r="L76" s="36">
        <v>89301</v>
      </c>
      <c r="M76" s="35">
        <v>10263</v>
      </c>
    </row>
    <row r="77" spans="2:13" ht="12.75">
      <c r="B77" s="34"/>
      <c r="C77" s="35" t="s">
        <v>27</v>
      </c>
      <c r="D77" s="34">
        <f>79127-70632</f>
        <v>8495</v>
      </c>
      <c r="E77" s="35">
        <f>636550-586663</f>
        <v>49887</v>
      </c>
      <c r="F77" s="36" t="s">
        <v>32</v>
      </c>
      <c r="G77" s="35" t="s">
        <v>32</v>
      </c>
      <c r="H77" s="36" t="s">
        <v>32</v>
      </c>
      <c r="I77" s="35" t="s">
        <v>32</v>
      </c>
      <c r="J77" s="36" t="s">
        <v>32</v>
      </c>
      <c r="K77" s="35">
        <v>95</v>
      </c>
      <c r="L77" s="36">
        <v>49887</v>
      </c>
      <c r="M77" s="35">
        <v>5864</v>
      </c>
    </row>
    <row r="78" spans="2:13" ht="12.75">
      <c r="B78" s="34"/>
      <c r="C78" s="35" t="s">
        <v>28</v>
      </c>
      <c r="D78" s="34">
        <f>90969-79127</f>
        <v>11842</v>
      </c>
      <c r="E78" s="35">
        <f>740403-636550</f>
        <v>103853</v>
      </c>
      <c r="F78" s="36" t="s">
        <v>32</v>
      </c>
      <c r="G78" s="35" t="s">
        <v>32</v>
      </c>
      <c r="H78" s="36" t="s">
        <v>32</v>
      </c>
      <c r="I78" s="35" t="s">
        <v>32</v>
      </c>
      <c r="J78" s="36" t="s">
        <v>32</v>
      </c>
      <c r="K78" s="35" t="s">
        <v>32</v>
      </c>
      <c r="L78" s="36">
        <v>103853</v>
      </c>
      <c r="M78" s="35">
        <v>12207</v>
      </c>
    </row>
    <row r="79" spans="2:13" ht="12.75">
      <c r="B79" s="34"/>
      <c r="C79" s="35" t="s">
        <v>29</v>
      </c>
      <c r="D79" s="34">
        <f>101177-90969</f>
        <v>10208</v>
      </c>
      <c r="E79" s="35">
        <f>845182-740403</f>
        <v>104779</v>
      </c>
      <c r="F79" s="36" t="s">
        <v>32</v>
      </c>
      <c r="G79" s="35" t="s">
        <v>32</v>
      </c>
      <c r="H79" s="36" t="s">
        <v>32</v>
      </c>
      <c r="I79" s="35" t="s">
        <v>32</v>
      </c>
      <c r="J79" s="36" t="s">
        <v>32</v>
      </c>
      <c r="K79" s="35">
        <v>103</v>
      </c>
      <c r="L79" s="36">
        <v>104779</v>
      </c>
      <c r="M79" s="35">
        <v>12312</v>
      </c>
    </row>
    <row r="80" spans="2:14" ht="13.5" thickBot="1">
      <c r="B80" s="9"/>
      <c r="C80" s="7" t="s">
        <v>30</v>
      </c>
      <c r="D80" s="9">
        <f>104338-101177</f>
        <v>3161</v>
      </c>
      <c r="E80" s="7">
        <f>6909+3706+3948+3832+3764+1769+4446+3500+3393</f>
        <v>35267</v>
      </c>
      <c r="F80" s="8" t="s">
        <v>32</v>
      </c>
      <c r="G80" s="7" t="s">
        <v>32</v>
      </c>
      <c r="H80" s="8" t="s">
        <v>32</v>
      </c>
      <c r="I80" s="7" t="s">
        <v>32</v>
      </c>
      <c r="J80" s="8" t="s">
        <v>32</v>
      </c>
      <c r="K80" s="7">
        <v>50</v>
      </c>
      <c r="L80" s="8">
        <v>35267</v>
      </c>
      <c r="M80" s="35">
        <v>4146</v>
      </c>
      <c r="N80" s="51"/>
    </row>
    <row r="81" spans="2:13" ht="13.5" thickBot="1">
      <c r="B81" s="33"/>
      <c r="C81" s="39" t="s">
        <v>33</v>
      </c>
      <c r="D81" s="18">
        <v>104338</v>
      </c>
      <c r="E81" s="17">
        <v>880449</v>
      </c>
      <c r="F81" s="19">
        <v>182</v>
      </c>
      <c r="G81" s="17">
        <v>235</v>
      </c>
      <c r="H81" s="19">
        <v>679</v>
      </c>
      <c r="I81" s="17" t="s">
        <v>32</v>
      </c>
      <c r="J81" s="19" t="s">
        <v>32</v>
      </c>
      <c r="K81" s="17">
        <v>757</v>
      </c>
      <c r="L81" s="18">
        <v>881546</v>
      </c>
      <c r="M81" s="39">
        <v>103369</v>
      </c>
    </row>
    <row r="82" ht="13.5" thickBot="1"/>
    <row r="83" spans="2:13" ht="12.75">
      <c r="B83" s="4"/>
      <c r="C83" s="2"/>
      <c r="D83" s="3" t="s">
        <v>4</v>
      </c>
      <c r="E83" s="2" t="s">
        <v>9</v>
      </c>
      <c r="F83" s="3"/>
      <c r="G83" s="2"/>
      <c r="H83" s="3"/>
      <c r="I83" s="2"/>
      <c r="J83" s="3"/>
      <c r="K83" s="2"/>
      <c r="L83" s="5" t="s">
        <v>18</v>
      </c>
      <c r="M83" s="2" t="s">
        <v>18</v>
      </c>
    </row>
    <row r="84" spans="2:13" ht="13.5" thickBot="1">
      <c r="B84" s="9" t="s">
        <v>8</v>
      </c>
      <c r="C84" s="7" t="s">
        <v>1</v>
      </c>
      <c r="D84" s="8" t="s">
        <v>5</v>
      </c>
      <c r="E84" s="7" t="s">
        <v>10</v>
      </c>
      <c r="F84" s="8" t="s">
        <v>11</v>
      </c>
      <c r="G84" s="7" t="s">
        <v>12</v>
      </c>
      <c r="H84" s="8" t="s">
        <v>13</v>
      </c>
      <c r="I84" s="7" t="s">
        <v>14</v>
      </c>
      <c r="J84" s="8" t="s">
        <v>15</v>
      </c>
      <c r="K84" s="7" t="s">
        <v>16</v>
      </c>
      <c r="L84" s="10" t="s">
        <v>17</v>
      </c>
      <c r="M84" s="7" t="s">
        <v>36</v>
      </c>
    </row>
    <row r="85" spans="2:12" ht="13.5" thickBot="1">
      <c r="B85" s="12">
        <v>1841</v>
      </c>
      <c r="C85" s="52"/>
      <c r="D85" s="21"/>
      <c r="E85" s="21"/>
      <c r="F85" s="21"/>
      <c r="G85" s="21"/>
      <c r="H85" s="21"/>
      <c r="I85" s="21"/>
      <c r="J85" s="21"/>
      <c r="K85" s="21"/>
      <c r="L85" s="21"/>
    </row>
    <row r="86" spans="2:13" ht="13.5" thickBot="1">
      <c r="B86" s="1" t="s">
        <v>49</v>
      </c>
      <c r="C86" s="42" t="s">
        <v>19</v>
      </c>
      <c r="D86" s="44">
        <v>1200</v>
      </c>
      <c r="E86" s="48"/>
      <c r="F86" s="46"/>
      <c r="G86" s="48"/>
      <c r="H86" s="46"/>
      <c r="I86" s="48"/>
      <c r="J86" s="46"/>
      <c r="K86" s="48"/>
      <c r="L86" s="46"/>
      <c r="M86" s="48"/>
    </row>
    <row r="87" spans="2:13" ht="12.75">
      <c r="B87" s="1" t="s">
        <v>50</v>
      </c>
      <c r="C87" s="2" t="s">
        <v>19</v>
      </c>
      <c r="D87" s="3">
        <f>13815-D86</f>
        <v>12615</v>
      </c>
      <c r="E87" s="2">
        <v>95954</v>
      </c>
      <c r="F87" s="4" t="s">
        <v>32</v>
      </c>
      <c r="G87" s="2" t="s">
        <v>32</v>
      </c>
      <c r="H87" s="5" t="s">
        <v>32</v>
      </c>
      <c r="I87" s="2" t="s">
        <v>32</v>
      </c>
      <c r="J87" s="4" t="s">
        <v>32</v>
      </c>
      <c r="K87" s="2" t="s">
        <v>32</v>
      </c>
      <c r="L87" s="2">
        <v>95954</v>
      </c>
      <c r="M87" s="2">
        <v>11276</v>
      </c>
    </row>
    <row r="88" spans="2:13" ht="12.75">
      <c r="B88" s="53"/>
      <c r="C88" s="35" t="s">
        <v>20</v>
      </c>
      <c r="D88" s="36">
        <f>19196-13815</f>
        <v>5381</v>
      </c>
      <c r="E88" s="35">
        <f>150855-E87</f>
        <v>54901</v>
      </c>
      <c r="F88" s="34">
        <v>70</v>
      </c>
      <c r="G88" s="35">
        <v>78</v>
      </c>
      <c r="H88" s="37">
        <v>251</v>
      </c>
      <c r="I88" s="35" t="s">
        <v>32</v>
      </c>
      <c r="J88" s="34" t="s">
        <v>32</v>
      </c>
      <c r="K88" s="35">
        <v>215</v>
      </c>
      <c r="L88" s="35">
        <v>55300</v>
      </c>
      <c r="M88" s="35">
        <v>6496</v>
      </c>
    </row>
    <row r="89" spans="2:13" ht="12.75">
      <c r="B89" s="53"/>
      <c r="C89" s="35" t="s">
        <v>21</v>
      </c>
      <c r="D89" s="36">
        <f>28523-19196</f>
        <v>9327</v>
      </c>
      <c r="E89" s="35">
        <f>226893-150855</f>
        <v>76038</v>
      </c>
      <c r="F89" s="34" t="s">
        <v>32</v>
      </c>
      <c r="G89" s="35" t="s">
        <v>32</v>
      </c>
      <c r="H89" s="37" t="s">
        <v>32</v>
      </c>
      <c r="I89" s="35" t="s">
        <v>32</v>
      </c>
      <c r="J89" s="34" t="s">
        <v>32</v>
      </c>
      <c r="K89" s="35" t="s">
        <v>32</v>
      </c>
      <c r="L89" s="35">
        <v>76038</v>
      </c>
      <c r="M89" s="35">
        <v>8932</v>
      </c>
    </row>
    <row r="90" spans="2:13" ht="12.75">
      <c r="B90" s="53"/>
      <c r="C90" s="35" t="s">
        <v>22</v>
      </c>
      <c r="D90" s="36">
        <f>37113-28523</f>
        <v>8590</v>
      </c>
      <c r="E90" s="35">
        <f>302261-226893</f>
        <v>75368</v>
      </c>
      <c r="F90" s="34">
        <v>161</v>
      </c>
      <c r="G90" s="35">
        <v>174</v>
      </c>
      <c r="H90" s="37">
        <v>330</v>
      </c>
      <c r="I90" s="35" t="s">
        <v>32</v>
      </c>
      <c r="J90" s="34" t="s">
        <v>32</v>
      </c>
      <c r="K90" s="35" t="s">
        <v>32</v>
      </c>
      <c r="L90" s="35">
        <v>76034</v>
      </c>
      <c r="M90" s="35">
        <v>8933</v>
      </c>
    </row>
    <row r="91" spans="2:13" ht="12.75">
      <c r="B91" s="53"/>
      <c r="C91" s="35" t="s">
        <v>23</v>
      </c>
      <c r="D91" s="36">
        <f>44727-37113</f>
        <v>7614</v>
      </c>
      <c r="E91" s="35">
        <f>341318-302261</f>
        <v>39057</v>
      </c>
      <c r="F91" s="34" t="s">
        <v>32</v>
      </c>
      <c r="G91" s="35" t="s">
        <v>32</v>
      </c>
      <c r="H91" s="37" t="s">
        <v>32</v>
      </c>
      <c r="I91" s="35" t="s">
        <v>32</v>
      </c>
      <c r="J91" s="34" t="s">
        <v>32</v>
      </c>
      <c r="K91" s="35">
        <v>294</v>
      </c>
      <c r="L91" s="35">
        <v>39057</v>
      </c>
      <c r="M91" s="35">
        <v>4588</v>
      </c>
    </row>
    <row r="92" spans="2:13" ht="12.75">
      <c r="B92" s="53"/>
      <c r="C92" s="35" t="s">
        <v>24</v>
      </c>
      <c r="D92" s="36">
        <f>51208-44727</f>
        <v>6481</v>
      </c>
      <c r="E92" s="35">
        <f>414146-341318</f>
        <v>72828</v>
      </c>
      <c r="F92" s="34" t="s">
        <v>32</v>
      </c>
      <c r="G92" s="35" t="s">
        <v>32</v>
      </c>
      <c r="H92" s="37" t="s">
        <v>32</v>
      </c>
      <c r="I92" s="35" t="s">
        <v>32</v>
      </c>
      <c r="J92" s="34" t="s">
        <v>32</v>
      </c>
      <c r="K92" s="35" t="s">
        <v>32</v>
      </c>
      <c r="L92" s="35">
        <v>72828</v>
      </c>
      <c r="M92" s="35">
        <v>8555</v>
      </c>
    </row>
    <row r="93" spans="2:13" ht="12.75">
      <c r="B93" s="53"/>
      <c r="C93" s="35" t="s">
        <v>25</v>
      </c>
      <c r="D93" s="36">
        <f>60845-51208</f>
        <v>9637</v>
      </c>
      <c r="E93" s="35">
        <f>496797-414146</f>
        <v>82651</v>
      </c>
      <c r="F93" s="34" t="s">
        <v>32</v>
      </c>
      <c r="G93" s="35" t="s">
        <v>32</v>
      </c>
      <c r="H93" s="37" t="s">
        <v>32</v>
      </c>
      <c r="I93" s="35" t="s">
        <v>32</v>
      </c>
      <c r="J93" s="34" t="s">
        <v>32</v>
      </c>
      <c r="K93" s="35">
        <v>287</v>
      </c>
      <c r="L93" s="35">
        <v>82651</v>
      </c>
      <c r="M93" s="35">
        <v>9711</v>
      </c>
    </row>
    <row r="94" spans="2:13" ht="12.75">
      <c r="B94" s="53"/>
      <c r="C94" s="35" t="s">
        <v>26</v>
      </c>
      <c r="D94" s="36">
        <f>63126-60845</f>
        <v>2281</v>
      </c>
      <c r="E94" s="35">
        <f>527842-496797</f>
        <v>31045</v>
      </c>
      <c r="F94" s="34" t="s">
        <v>32</v>
      </c>
      <c r="G94" s="35" t="s">
        <v>32</v>
      </c>
      <c r="H94" s="37" t="s">
        <v>32</v>
      </c>
      <c r="I94" s="35" t="s">
        <v>32</v>
      </c>
      <c r="J94" s="34" t="s">
        <v>32</v>
      </c>
      <c r="K94" s="35" t="s">
        <v>32</v>
      </c>
      <c r="L94" s="35">
        <v>31045</v>
      </c>
      <c r="M94" s="35">
        <v>3647</v>
      </c>
    </row>
    <row r="95" spans="2:13" ht="12.75">
      <c r="B95" s="53"/>
      <c r="C95" s="35" t="s">
        <v>27</v>
      </c>
      <c r="D95" s="36">
        <f>65718-63126</f>
        <v>2592</v>
      </c>
      <c r="E95" s="35">
        <f>544141-527842</f>
        <v>16299</v>
      </c>
      <c r="F95" s="34">
        <v>337</v>
      </c>
      <c r="G95" s="35">
        <v>426</v>
      </c>
      <c r="H95" s="37">
        <f>925-581</f>
        <v>344</v>
      </c>
      <c r="I95" s="35" t="s">
        <v>32</v>
      </c>
      <c r="J95" s="34" t="s">
        <v>32</v>
      </c>
      <c r="K95" s="35" t="s">
        <v>32</v>
      </c>
      <c r="L95" s="35">
        <v>17406</v>
      </c>
      <c r="M95" s="35">
        <v>2046</v>
      </c>
    </row>
    <row r="96" spans="2:13" ht="12.75">
      <c r="B96" s="53"/>
      <c r="C96" s="35" t="s">
        <v>28</v>
      </c>
      <c r="D96" s="36">
        <f>66553-65718</f>
        <v>835</v>
      </c>
      <c r="E96" s="35">
        <f>555448-544141</f>
        <v>11307</v>
      </c>
      <c r="F96" s="34" t="s">
        <v>32</v>
      </c>
      <c r="G96" s="35" t="s">
        <v>32</v>
      </c>
      <c r="H96" s="37" t="s">
        <v>32</v>
      </c>
      <c r="I96" s="35" t="s">
        <v>32</v>
      </c>
      <c r="J96" s="34" t="s">
        <v>32</v>
      </c>
      <c r="K96" s="35">
        <v>52</v>
      </c>
      <c r="L96" s="35">
        <v>11307</v>
      </c>
      <c r="M96" s="35">
        <v>1328</v>
      </c>
    </row>
    <row r="97" spans="2:13" ht="12.75">
      <c r="B97" s="53"/>
      <c r="C97" s="35" t="s">
        <v>29</v>
      </c>
      <c r="D97" s="36">
        <f>75967-66553</f>
        <v>9414</v>
      </c>
      <c r="E97" s="35">
        <f>633141-555448</f>
        <v>77693</v>
      </c>
      <c r="F97" s="34" t="s">
        <v>32</v>
      </c>
      <c r="G97" s="35" t="s">
        <v>32</v>
      </c>
      <c r="H97" s="37" t="s">
        <v>32</v>
      </c>
      <c r="I97" s="35" t="s">
        <v>32</v>
      </c>
      <c r="J97" s="34" t="s">
        <v>32</v>
      </c>
      <c r="K97" s="35">
        <v>193</v>
      </c>
      <c r="L97" s="35">
        <v>77693</v>
      </c>
      <c r="M97" s="35">
        <v>9128</v>
      </c>
    </row>
    <row r="98" spans="2:13" ht="13.5" thickBot="1">
      <c r="B98" s="23"/>
      <c r="C98" s="35" t="s">
        <v>30</v>
      </c>
      <c r="D98" s="36">
        <f>78113-75967</f>
        <v>2146</v>
      </c>
      <c r="E98" s="35">
        <f>651941-633141</f>
        <v>18800</v>
      </c>
      <c r="F98" s="34">
        <v>292</v>
      </c>
      <c r="G98" s="35">
        <v>166</v>
      </c>
      <c r="H98" s="37">
        <v>441</v>
      </c>
      <c r="I98" s="35" t="s">
        <v>32</v>
      </c>
      <c r="J98" s="9" t="s">
        <v>32</v>
      </c>
      <c r="K98" s="35" t="s">
        <v>32</v>
      </c>
      <c r="L98" s="7">
        <v>19701</v>
      </c>
      <c r="M98" s="35">
        <v>2315</v>
      </c>
    </row>
    <row r="99" spans="3:13" ht="13.5" thickBot="1">
      <c r="C99" s="39" t="s">
        <v>33</v>
      </c>
      <c r="D99" s="38">
        <v>78113</v>
      </c>
      <c r="E99" s="39">
        <v>651941</v>
      </c>
      <c r="F99" s="38">
        <v>860</v>
      </c>
      <c r="G99" s="39">
        <v>845</v>
      </c>
      <c r="H99" s="41">
        <v>1366</v>
      </c>
      <c r="I99" s="39" t="s">
        <v>32</v>
      </c>
      <c r="J99" s="40" t="s">
        <v>32</v>
      </c>
      <c r="K99" s="39">
        <v>1041</v>
      </c>
      <c r="L99" s="39">
        <v>655014</v>
      </c>
      <c r="M99" s="39">
        <v>76955</v>
      </c>
    </row>
    <row r="101" ht="13.5" thickBot="1">
      <c r="B101" s="32">
        <v>1842</v>
      </c>
    </row>
    <row r="102" spans="2:13" ht="13.5" thickBot="1">
      <c r="B102" s="1" t="s">
        <v>49</v>
      </c>
      <c r="C102" s="42" t="s">
        <v>35</v>
      </c>
      <c r="D102" s="43">
        <v>621</v>
      </c>
      <c r="E102" s="46"/>
      <c r="F102" s="48"/>
      <c r="G102" s="46"/>
      <c r="H102" s="48"/>
      <c r="I102" s="46"/>
      <c r="J102" s="48"/>
      <c r="K102" s="46"/>
      <c r="L102" s="48"/>
      <c r="M102" s="47"/>
    </row>
    <row r="103" spans="2:13" ht="12.75">
      <c r="B103" s="33" t="s">
        <v>50</v>
      </c>
      <c r="C103" s="4" t="s">
        <v>35</v>
      </c>
      <c r="D103" s="2">
        <f>9894-D102</f>
        <v>9273</v>
      </c>
      <c r="E103" s="3">
        <v>71473</v>
      </c>
      <c r="F103" s="2">
        <v>1049</v>
      </c>
      <c r="G103" s="2">
        <v>1258</v>
      </c>
      <c r="H103" s="3">
        <v>104</v>
      </c>
      <c r="I103" s="2" t="s">
        <v>32</v>
      </c>
      <c r="J103" s="3" t="s">
        <v>32</v>
      </c>
      <c r="K103" s="2" t="s">
        <v>32</v>
      </c>
      <c r="L103" s="3">
        <v>73885</v>
      </c>
      <c r="M103" s="2">
        <v>4630</v>
      </c>
    </row>
    <row r="104" spans="3:13" ht="12.75">
      <c r="C104" s="34" t="s">
        <v>20</v>
      </c>
      <c r="D104" s="35">
        <f>16098-9894</f>
        <v>6204</v>
      </c>
      <c r="E104" s="36">
        <f>109048-E103</f>
        <v>37575</v>
      </c>
      <c r="F104" s="35">
        <f>1860-F103</f>
        <v>811</v>
      </c>
      <c r="G104" s="35">
        <f>2283-G103</f>
        <v>1025</v>
      </c>
      <c r="H104" s="36" t="s">
        <v>32</v>
      </c>
      <c r="I104" s="35" t="s">
        <v>32</v>
      </c>
      <c r="J104" s="36" t="s">
        <v>32</v>
      </c>
      <c r="K104" s="35" t="s">
        <v>32</v>
      </c>
      <c r="L104" s="36">
        <v>39409</v>
      </c>
      <c r="M104" s="35">
        <v>11438</v>
      </c>
    </row>
    <row r="105" spans="3:13" ht="12.75">
      <c r="C105" s="34" t="s">
        <v>21</v>
      </c>
      <c r="D105" s="35">
        <f>28478-16048</f>
        <v>12430</v>
      </c>
      <c r="E105" s="36">
        <f>200972-109048</f>
        <v>91924</v>
      </c>
      <c r="F105" s="35">
        <f>5074-1860</f>
        <v>3214</v>
      </c>
      <c r="G105" s="35">
        <f>3702-2283</f>
        <v>1419</v>
      </c>
      <c r="H105" s="36">
        <v>779</v>
      </c>
      <c r="I105" s="35" t="s">
        <v>32</v>
      </c>
      <c r="J105" s="36" t="s">
        <v>32</v>
      </c>
      <c r="K105" s="35" t="s">
        <v>32</v>
      </c>
      <c r="L105" s="36">
        <v>97337</v>
      </c>
      <c r="M105" s="35">
        <v>8693</v>
      </c>
    </row>
    <row r="106" spans="3:13" ht="12.75">
      <c r="C106" s="34" t="s">
        <v>22</v>
      </c>
      <c r="D106" s="35">
        <f>36310-28478</f>
        <v>7832</v>
      </c>
      <c r="E106" s="36">
        <f>270641-200972</f>
        <v>69669</v>
      </c>
      <c r="F106" s="35">
        <f>8696-5074</f>
        <v>3622</v>
      </c>
      <c r="G106" s="35">
        <f>4378-3702</f>
        <v>676</v>
      </c>
      <c r="H106" s="36" t="s">
        <v>32</v>
      </c>
      <c r="I106" s="35" t="s">
        <v>32</v>
      </c>
      <c r="J106" s="36" t="s">
        <v>32</v>
      </c>
      <c r="K106" s="35" t="s">
        <v>32</v>
      </c>
      <c r="L106" s="36">
        <v>73967</v>
      </c>
      <c r="M106" s="35">
        <v>10992</v>
      </c>
    </row>
    <row r="107" spans="3:13" ht="12.75">
      <c r="C107" s="34" t="s">
        <v>23</v>
      </c>
      <c r="D107" s="35">
        <f>42295-36310</f>
        <v>5985</v>
      </c>
      <c r="E107" s="36">
        <f>363548-270641</f>
        <v>92907</v>
      </c>
      <c r="F107" s="35">
        <f>9328-8696</f>
        <v>632</v>
      </c>
      <c r="G107" s="35" t="s">
        <v>32</v>
      </c>
      <c r="H107" s="36" t="s">
        <v>32</v>
      </c>
      <c r="I107" s="35" t="s">
        <v>32</v>
      </c>
      <c r="J107" s="36" t="s">
        <v>32</v>
      </c>
      <c r="K107" s="35" t="s">
        <v>32</v>
      </c>
      <c r="L107" s="36">
        <v>93538</v>
      </c>
      <c r="M107" s="35">
        <v>10992</v>
      </c>
    </row>
    <row r="108" spans="3:13" ht="12.75">
      <c r="C108" s="34" t="s">
        <v>24</v>
      </c>
      <c r="D108" s="35">
        <f>59839-42295</f>
        <v>17544</v>
      </c>
      <c r="E108" s="36">
        <f>449996-363548</f>
        <v>86448</v>
      </c>
      <c r="F108" s="35">
        <f>5585</f>
        <v>5585</v>
      </c>
      <c r="G108" s="35">
        <f>5879-4378</f>
        <v>1501</v>
      </c>
      <c r="H108" s="36" t="s">
        <v>32</v>
      </c>
      <c r="I108" s="35" t="s">
        <v>32</v>
      </c>
      <c r="J108" s="36" t="s">
        <v>32</v>
      </c>
      <c r="K108" s="35">
        <v>440</v>
      </c>
      <c r="L108" s="36">
        <v>93533</v>
      </c>
      <c r="M108" s="35">
        <v>10992</v>
      </c>
    </row>
    <row r="109" spans="3:13" ht="12.75">
      <c r="C109" s="34" t="s">
        <v>25</v>
      </c>
      <c r="D109" s="35">
        <f>69452-59839</f>
        <v>9613</v>
      </c>
      <c r="E109" s="36">
        <f>552662-449996</f>
        <v>102666</v>
      </c>
      <c r="F109" s="35">
        <f>2668</f>
        <v>2668</v>
      </c>
      <c r="G109" s="35">
        <f>6922-5879</f>
        <v>1043</v>
      </c>
      <c r="H109" s="36">
        <v>477</v>
      </c>
      <c r="I109" s="35" t="s">
        <v>32</v>
      </c>
      <c r="J109" s="36" t="s">
        <v>32</v>
      </c>
      <c r="K109" s="35" t="s">
        <v>32</v>
      </c>
      <c r="L109" s="36">
        <v>106854</v>
      </c>
      <c r="M109" s="35">
        <v>12557</v>
      </c>
    </row>
    <row r="110" spans="3:13" ht="12.75">
      <c r="C110" s="34" t="s">
        <v>26</v>
      </c>
      <c r="D110" s="35">
        <f>71917-69452</f>
        <v>2465</v>
      </c>
      <c r="E110" s="36">
        <f>576162-552662</f>
        <v>23500</v>
      </c>
      <c r="F110" s="35">
        <f>19612-17581</f>
        <v>2031</v>
      </c>
      <c r="G110" s="35">
        <f>6965-6922</f>
        <v>43</v>
      </c>
      <c r="H110" s="36">
        <v>384</v>
      </c>
      <c r="I110" s="35" t="s">
        <v>32</v>
      </c>
      <c r="J110" s="36">
        <v>528</v>
      </c>
      <c r="K110" s="35" t="s">
        <v>32</v>
      </c>
      <c r="L110" s="36">
        <v>26485</v>
      </c>
      <c r="M110" s="35">
        <v>3111</v>
      </c>
    </row>
    <row r="111" spans="3:13" ht="12.75">
      <c r="C111" s="34" t="s">
        <v>27</v>
      </c>
      <c r="D111" s="35">
        <f>81012-71917</f>
        <v>9095</v>
      </c>
      <c r="E111" s="36">
        <f>649927-576162</f>
        <v>73765</v>
      </c>
      <c r="F111" s="35">
        <f>21159-19612</f>
        <v>1547</v>
      </c>
      <c r="G111" s="35">
        <f>7228-6965</f>
        <v>263</v>
      </c>
      <c r="H111" s="36">
        <v>191</v>
      </c>
      <c r="I111" s="35" t="s">
        <v>32</v>
      </c>
      <c r="J111" s="36" t="s">
        <v>32</v>
      </c>
      <c r="K111" s="35" t="s">
        <v>32</v>
      </c>
      <c r="L111" s="36">
        <v>75766</v>
      </c>
      <c r="M111" s="35">
        <v>8903</v>
      </c>
    </row>
    <row r="112" spans="3:13" ht="12.75">
      <c r="C112" s="34" t="s">
        <v>28</v>
      </c>
      <c r="D112" s="35">
        <f>86095-81012</f>
        <v>5083</v>
      </c>
      <c r="E112" s="36">
        <f>690705-649927</f>
        <v>40778</v>
      </c>
      <c r="F112" s="35">
        <f>23059-21159</f>
        <v>1900</v>
      </c>
      <c r="G112" s="35">
        <f>7923-7228</f>
        <v>695</v>
      </c>
      <c r="H112" s="36">
        <v>155</v>
      </c>
      <c r="I112" s="35" t="s">
        <v>32</v>
      </c>
      <c r="J112" s="36">
        <v>164</v>
      </c>
      <c r="K112" s="35">
        <v>121</v>
      </c>
      <c r="L112" s="36">
        <v>43693</v>
      </c>
      <c r="M112" s="35">
        <v>5131</v>
      </c>
    </row>
    <row r="113" spans="3:13" ht="12.75">
      <c r="C113" s="34" t="s">
        <v>29</v>
      </c>
      <c r="D113" s="35">
        <f>97792-86095</f>
        <v>11697</v>
      </c>
      <c r="E113" s="36">
        <f>778544-690705</f>
        <v>87839</v>
      </c>
      <c r="F113" s="35">
        <f>24797-23059</f>
        <v>1738</v>
      </c>
      <c r="G113" s="35" t="s">
        <v>32</v>
      </c>
      <c r="H113" s="36" t="s">
        <v>32</v>
      </c>
      <c r="I113" s="35" t="s">
        <v>32</v>
      </c>
      <c r="J113" s="36">
        <v>1011</v>
      </c>
      <c r="K113" s="35" t="s">
        <v>32</v>
      </c>
      <c r="L113" s="36">
        <v>90750</v>
      </c>
      <c r="M113" s="35">
        <v>10659</v>
      </c>
    </row>
    <row r="114" spans="3:13" ht="13.5" thickBot="1">
      <c r="C114" s="9" t="s">
        <v>30</v>
      </c>
      <c r="D114" s="7">
        <f>106868-97792</f>
        <v>9076</v>
      </c>
      <c r="E114" s="8">
        <f>856572-778544</f>
        <v>78028</v>
      </c>
      <c r="F114" s="7">
        <f>28940-24797</f>
        <v>4143</v>
      </c>
      <c r="G114" s="7">
        <f>9466-7923</f>
        <v>1543</v>
      </c>
      <c r="H114" s="8">
        <v>481</v>
      </c>
      <c r="I114" s="7" t="s">
        <v>32</v>
      </c>
      <c r="J114" s="8" t="s">
        <v>32</v>
      </c>
      <c r="K114" s="7" t="s">
        <v>32</v>
      </c>
      <c r="L114" s="8">
        <v>84033</v>
      </c>
      <c r="M114" s="7">
        <v>9875</v>
      </c>
    </row>
    <row r="115" spans="3:13" ht="13.5" thickBot="1">
      <c r="C115" s="38" t="s">
        <v>33</v>
      </c>
      <c r="D115" s="39">
        <v>106918</v>
      </c>
      <c r="E115" s="40">
        <v>856572</v>
      </c>
      <c r="F115" s="39">
        <v>28940</v>
      </c>
      <c r="G115" s="39">
        <v>9466</v>
      </c>
      <c r="H115" s="40">
        <v>2571</v>
      </c>
      <c r="I115" s="39" t="s">
        <v>32</v>
      </c>
      <c r="J115" s="40">
        <v>1703</v>
      </c>
      <c r="K115" s="39">
        <v>561</v>
      </c>
      <c r="L115" s="40">
        <v>899250</v>
      </c>
      <c r="M115" s="39">
        <v>107973</v>
      </c>
    </row>
    <row r="116" ht="13.5" thickBot="1"/>
    <row r="117" spans="2:13" ht="12.75">
      <c r="B117" s="4"/>
      <c r="C117" s="2"/>
      <c r="D117" s="3" t="s">
        <v>4</v>
      </c>
      <c r="E117" s="2" t="s">
        <v>9</v>
      </c>
      <c r="F117" s="4" t="s">
        <v>11</v>
      </c>
      <c r="G117" s="2" t="s">
        <v>12</v>
      </c>
      <c r="H117" s="2" t="s">
        <v>13</v>
      </c>
      <c r="I117" s="4" t="s">
        <v>14</v>
      </c>
      <c r="J117" s="2" t="s">
        <v>15</v>
      </c>
      <c r="K117" s="5"/>
      <c r="L117" s="5" t="s">
        <v>18</v>
      </c>
      <c r="M117" s="2" t="s">
        <v>18</v>
      </c>
    </row>
    <row r="118" spans="2:13" ht="13.5" thickBot="1">
      <c r="B118" s="9" t="s">
        <v>8</v>
      </c>
      <c r="C118" s="7" t="s">
        <v>1</v>
      </c>
      <c r="D118" s="8" t="s">
        <v>5</v>
      </c>
      <c r="E118" s="7" t="s">
        <v>10</v>
      </c>
      <c r="F118" s="9" t="s">
        <v>37</v>
      </c>
      <c r="G118" s="7" t="s">
        <v>37</v>
      </c>
      <c r="H118" s="7" t="s">
        <v>37</v>
      </c>
      <c r="I118" s="9" t="s">
        <v>37</v>
      </c>
      <c r="J118" s="7" t="s">
        <v>37</v>
      </c>
      <c r="K118" s="10" t="s">
        <v>16</v>
      </c>
      <c r="L118" s="10" t="s">
        <v>17</v>
      </c>
      <c r="M118" s="7" t="s">
        <v>36</v>
      </c>
    </row>
    <row r="119" ht="13.5" thickBot="1">
      <c r="B119" s="32">
        <v>1843</v>
      </c>
    </row>
    <row r="120" spans="2:13" ht="13.5" thickBot="1">
      <c r="B120" s="1" t="s">
        <v>49</v>
      </c>
      <c r="C120" s="42" t="s">
        <v>19</v>
      </c>
      <c r="D120" s="54">
        <v>851</v>
      </c>
      <c r="E120" s="46"/>
      <c r="F120" s="46"/>
      <c r="G120" s="46"/>
      <c r="H120" s="46"/>
      <c r="I120" s="46"/>
      <c r="J120" s="46"/>
      <c r="K120" s="46"/>
      <c r="L120" s="46"/>
      <c r="M120" s="47"/>
    </row>
    <row r="121" spans="2:13" ht="12.75">
      <c r="B121" s="1" t="s">
        <v>50</v>
      </c>
      <c r="C121" s="4" t="s">
        <v>35</v>
      </c>
      <c r="D121" s="2">
        <f>9372-D120</f>
        <v>8521</v>
      </c>
      <c r="E121" s="3">
        <v>51229</v>
      </c>
      <c r="F121" s="2">
        <v>2064</v>
      </c>
      <c r="G121" s="2" t="s">
        <v>32</v>
      </c>
      <c r="H121" s="3" t="s">
        <v>32</v>
      </c>
      <c r="I121" s="2" t="s">
        <v>32</v>
      </c>
      <c r="J121" s="3">
        <v>1150</v>
      </c>
      <c r="K121" s="2" t="s">
        <v>32</v>
      </c>
      <c r="L121" s="3">
        <v>54443</v>
      </c>
      <c r="M121" s="2">
        <v>6401</v>
      </c>
    </row>
    <row r="122" spans="3:13" ht="12.75">
      <c r="C122" s="34" t="s">
        <v>20</v>
      </c>
      <c r="D122" s="35">
        <f>18043-9372</f>
        <v>8671</v>
      </c>
      <c r="E122" s="36">
        <f>121409-E121</f>
        <v>70180</v>
      </c>
      <c r="F122" s="35">
        <f>2899-F121</f>
        <v>835</v>
      </c>
      <c r="G122" s="35">
        <v>259</v>
      </c>
      <c r="H122" s="36">
        <v>392</v>
      </c>
      <c r="I122" s="35" t="s">
        <v>32</v>
      </c>
      <c r="J122" s="36" t="s">
        <v>32</v>
      </c>
      <c r="K122" s="35">
        <v>121</v>
      </c>
      <c r="L122" s="36">
        <v>71666</v>
      </c>
      <c r="M122" s="35">
        <v>8421</v>
      </c>
    </row>
    <row r="123" spans="3:13" ht="12.75">
      <c r="C123" s="34" t="s">
        <v>21</v>
      </c>
      <c r="D123" s="35">
        <f>27439-18043</f>
        <v>9396</v>
      </c>
      <c r="E123" s="36">
        <f>187603-121409</f>
        <v>66194</v>
      </c>
      <c r="F123" s="35">
        <f>5345-2899</f>
        <v>2446</v>
      </c>
      <c r="G123" s="35">
        <v>1223</v>
      </c>
      <c r="H123" s="36">
        <v>611</v>
      </c>
      <c r="I123" s="35" t="s">
        <v>32</v>
      </c>
      <c r="J123" s="36">
        <v>807</v>
      </c>
      <c r="K123" s="35" t="s">
        <v>32</v>
      </c>
      <c r="L123" s="36">
        <v>71283</v>
      </c>
      <c r="M123" s="35">
        <v>8377</v>
      </c>
    </row>
    <row r="124" spans="3:13" ht="12.75">
      <c r="C124" s="34" t="s">
        <v>22</v>
      </c>
      <c r="D124" s="35">
        <f>37995-27439</f>
        <v>10556</v>
      </c>
      <c r="E124" s="36">
        <f>271272-187603</f>
        <v>83669</v>
      </c>
      <c r="F124" s="35">
        <f>9472-5345</f>
        <v>4127</v>
      </c>
      <c r="G124" s="35">
        <v>294</v>
      </c>
      <c r="H124" s="36">
        <v>29</v>
      </c>
      <c r="I124" s="35" t="s">
        <v>32</v>
      </c>
      <c r="J124" s="36">
        <v>888</v>
      </c>
      <c r="K124" s="35" t="s">
        <v>32</v>
      </c>
      <c r="L124" s="36">
        <v>89007</v>
      </c>
      <c r="M124" s="35">
        <v>10455</v>
      </c>
    </row>
    <row r="125" spans="3:13" ht="12.75">
      <c r="C125" s="34" t="s">
        <v>23</v>
      </c>
      <c r="D125" s="35">
        <f>49645-37995</f>
        <v>11650</v>
      </c>
      <c r="E125" s="36">
        <f>352013-271272</f>
        <v>80741</v>
      </c>
      <c r="F125" s="35">
        <f>13346-9472</f>
        <v>3874</v>
      </c>
      <c r="G125" s="35">
        <v>659</v>
      </c>
      <c r="H125" s="36" t="s">
        <v>32</v>
      </c>
      <c r="I125" s="35" t="s">
        <v>32</v>
      </c>
      <c r="J125" s="36">
        <v>987</v>
      </c>
      <c r="K125" s="35" t="s">
        <v>32</v>
      </c>
      <c r="L125" s="36">
        <v>86263</v>
      </c>
      <c r="M125" s="35">
        <v>10131</v>
      </c>
    </row>
    <row r="126" spans="3:13" ht="12.75">
      <c r="C126" s="34" t="s">
        <v>24</v>
      </c>
      <c r="D126" s="35">
        <f>56592-49645</f>
        <v>6947</v>
      </c>
      <c r="E126" s="36">
        <f>427752-352013</f>
        <v>75739</v>
      </c>
      <c r="F126" s="35">
        <f>14235-13346</f>
        <v>889</v>
      </c>
      <c r="G126" s="35">
        <v>636</v>
      </c>
      <c r="H126" s="36">
        <v>249</v>
      </c>
      <c r="I126" s="35">
        <v>4589</v>
      </c>
      <c r="J126" s="36">
        <v>910</v>
      </c>
      <c r="K126" s="35">
        <v>212</v>
      </c>
      <c r="L126" s="36">
        <v>83015</v>
      </c>
      <c r="M126" s="35">
        <v>9750</v>
      </c>
    </row>
    <row r="127" spans="3:13" ht="12.75">
      <c r="C127" s="34" t="s">
        <v>25</v>
      </c>
      <c r="D127" s="35">
        <f>62408-56592</f>
        <v>5816</v>
      </c>
      <c r="E127" s="36">
        <f>489481-427752</f>
        <v>61729</v>
      </c>
      <c r="F127" s="35">
        <f>14976-14235</f>
        <v>741</v>
      </c>
      <c r="G127" s="35">
        <v>761</v>
      </c>
      <c r="H127" s="36">
        <v>251</v>
      </c>
      <c r="I127" s="35">
        <f>7173-4589</f>
        <v>2584</v>
      </c>
      <c r="J127" s="36">
        <v>868</v>
      </c>
      <c r="K127" s="35">
        <v>17</v>
      </c>
      <c r="L127" s="36">
        <v>66934</v>
      </c>
      <c r="M127" s="35">
        <v>7863</v>
      </c>
    </row>
    <row r="128" spans="3:13" ht="12.75">
      <c r="C128" s="34" t="s">
        <v>26</v>
      </c>
      <c r="D128" s="35">
        <f>68237-62408</f>
        <v>5829</v>
      </c>
      <c r="E128" s="36">
        <f>526663-489481</f>
        <v>37182</v>
      </c>
      <c r="F128" s="35">
        <f>16201-14976</f>
        <v>1225</v>
      </c>
      <c r="G128" s="35">
        <v>586</v>
      </c>
      <c r="H128" s="36">
        <v>139</v>
      </c>
      <c r="I128" s="35">
        <f>8562-7173</f>
        <v>1389</v>
      </c>
      <c r="J128" s="36">
        <v>249</v>
      </c>
      <c r="K128" s="35">
        <v>437</v>
      </c>
      <c r="L128" s="36">
        <v>41140</v>
      </c>
      <c r="M128" s="35">
        <v>4832</v>
      </c>
    </row>
    <row r="129" spans="3:13" ht="12.75">
      <c r="C129" s="34" t="s">
        <v>27</v>
      </c>
      <c r="D129" s="35">
        <f>74443-68237</f>
        <v>6206</v>
      </c>
      <c r="E129" s="36">
        <f>578847-526663</f>
        <v>52184</v>
      </c>
      <c r="F129" s="35" t="s">
        <v>32</v>
      </c>
      <c r="G129" s="35" t="s">
        <v>32</v>
      </c>
      <c r="H129" s="36">
        <v>368</v>
      </c>
      <c r="I129" s="35">
        <f>9781-8562</f>
        <v>1219</v>
      </c>
      <c r="J129" s="36">
        <v>700</v>
      </c>
      <c r="K129" s="35" t="s">
        <v>32</v>
      </c>
      <c r="L129" s="36">
        <v>54105</v>
      </c>
      <c r="M129" s="35">
        <v>6356</v>
      </c>
    </row>
    <row r="130" spans="3:13" ht="12.75">
      <c r="C130" s="34" t="s">
        <v>28</v>
      </c>
      <c r="D130" s="35">
        <f>81120-74443</f>
        <v>6677</v>
      </c>
      <c r="E130" s="36">
        <f>635641-578847</f>
        <v>56794</v>
      </c>
      <c r="F130" s="35" t="s">
        <v>32</v>
      </c>
      <c r="G130" s="35" t="s">
        <v>32</v>
      </c>
      <c r="H130" s="36">
        <v>536</v>
      </c>
      <c r="I130" s="35" t="s">
        <v>32</v>
      </c>
      <c r="J130" s="36">
        <v>410</v>
      </c>
      <c r="K130" s="35" t="s">
        <v>32</v>
      </c>
      <c r="L130" s="36">
        <v>57741</v>
      </c>
      <c r="M130" s="35">
        <v>6782</v>
      </c>
    </row>
    <row r="131" spans="3:13" ht="12.75">
      <c r="C131" s="34" t="s">
        <v>29</v>
      </c>
      <c r="D131" s="35">
        <f>88974-81120</f>
        <v>7854</v>
      </c>
      <c r="E131" s="36">
        <f>703648-635641</f>
        <v>68007</v>
      </c>
      <c r="F131" s="35">
        <f>16509-16201</f>
        <v>308</v>
      </c>
      <c r="G131" s="35">
        <v>333</v>
      </c>
      <c r="H131" s="36" t="s">
        <v>32</v>
      </c>
      <c r="I131" s="35">
        <f>10323-9781</f>
        <v>542</v>
      </c>
      <c r="J131" s="36">
        <v>525</v>
      </c>
      <c r="K131" s="35">
        <v>100</v>
      </c>
      <c r="L131" s="36">
        <v>69717</v>
      </c>
      <c r="M131" s="35">
        <v>8189</v>
      </c>
    </row>
    <row r="132" spans="3:13" ht="13.5" thickBot="1">
      <c r="C132" s="34" t="s">
        <v>30</v>
      </c>
      <c r="D132" s="35">
        <f>103420-88974</f>
        <v>14446</v>
      </c>
      <c r="E132" s="36">
        <f>788946-703648</f>
        <v>85298</v>
      </c>
      <c r="F132" s="35">
        <f>17294-16509</f>
        <v>785</v>
      </c>
      <c r="G132" s="35">
        <v>776</v>
      </c>
      <c r="H132" s="36">
        <v>271</v>
      </c>
      <c r="I132" s="35">
        <f>17854-10323</f>
        <v>7531</v>
      </c>
      <c r="J132" s="36">
        <v>1169</v>
      </c>
      <c r="K132" s="35" t="s">
        <v>32</v>
      </c>
      <c r="L132" s="36">
        <v>95839</v>
      </c>
      <c r="M132" s="35">
        <v>11255</v>
      </c>
    </row>
    <row r="133" spans="3:13" ht="13.5" thickBot="1">
      <c r="C133" s="38" t="s">
        <v>33</v>
      </c>
      <c r="D133" s="39">
        <v>103420</v>
      </c>
      <c r="E133" s="40">
        <v>788946</v>
      </c>
      <c r="F133" s="39">
        <v>17294</v>
      </c>
      <c r="G133" s="39">
        <v>5527</v>
      </c>
      <c r="H133" s="40">
        <v>2846</v>
      </c>
      <c r="I133" s="39">
        <v>17854</v>
      </c>
      <c r="J133" s="40">
        <v>8663</v>
      </c>
      <c r="K133" s="39">
        <v>887</v>
      </c>
      <c r="L133" s="40">
        <v>841153</v>
      </c>
      <c r="M133" s="39">
        <v>98812</v>
      </c>
    </row>
    <row r="135" ht="13.5" thickBot="1">
      <c r="B135" s="32">
        <v>1845</v>
      </c>
    </row>
    <row r="136" spans="2:13" ht="13.5" thickBot="1">
      <c r="B136" s="1" t="s">
        <v>49</v>
      </c>
      <c r="C136" s="42" t="s">
        <v>19</v>
      </c>
      <c r="D136" s="44">
        <v>1762</v>
      </c>
      <c r="E136" s="46"/>
      <c r="F136" s="46"/>
      <c r="G136" s="46"/>
      <c r="H136" s="46"/>
      <c r="I136" s="46"/>
      <c r="J136" s="46"/>
      <c r="K136" s="46"/>
      <c r="L136" s="46"/>
      <c r="M136" s="47"/>
    </row>
    <row r="137" spans="2:13" ht="12.75">
      <c r="B137" s="1" t="s">
        <v>50</v>
      </c>
      <c r="C137" s="4" t="s">
        <v>19</v>
      </c>
      <c r="D137" s="2">
        <f>9039-D136</f>
        <v>7277</v>
      </c>
      <c r="E137" s="3">
        <v>68316</v>
      </c>
      <c r="F137" s="2">
        <v>1067</v>
      </c>
      <c r="G137" s="2">
        <v>663</v>
      </c>
      <c r="H137" s="3">
        <v>721</v>
      </c>
      <c r="I137" s="2">
        <v>659</v>
      </c>
      <c r="J137" s="3">
        <v>998</v>
      </c>
      <c r="K137" s="2" t="s">
        <v>32</v>
      </c>
      <c r="L137" s="5">
        <v>72424</v>
      </c>
      <c r="M137" s="2">
        <v>8520</v>
      </c>
    </row>
    <row r="138" spans="3:13" ht="12.75">
      <c r="C138" s="34" t="s">
        <v>20</v>
      </c>
      <c r="D138" s="35">
        <f>17342-9039</f>
        <v>8303</v>
      </c>
      <c r="E138" s="36">
        <f>136705-E137</f>
        <v>68389</v>
      </c>
      <c r="F138" s="35">
        <v>1158</v>
      </c>
      <c r="G138" s="35">
        <v>495</v>
      </c>
      <c r="H138" s="36">
        <v>245</v>
      </c>
      <c r="I138" s="35">
        <v>993</v>
      </c>
      <c r="J138" s="36">
        <f>1675-J137</f>
        <v>677</v>
      </c>
      <c r="K138" s="35" t="s">
        <v>32</v>
      </c>
      <c r="L138" s="37">
        <v>71958</v>
      </c>
      <c r="M138" s="35">
        <v>8465</v>
      </c>
    </row>
    <row r="139" spans="3:13" ht="12.75">
      <c r="C139" s="34" t="s">
        <v>21</v>
      </c>
      <c r="D139" s="35">
        <f>25650-17342</f>
        <v>8308</v>
      </c>
      <c r="E139" s="36">
        <f>200370-136705</f>
        <v>63665</v>
      </c>
      <c r="F139" s="35">
        <v>1200</v>
      </c>
      <c r="G139" s="35">
        <v>338</v>
      </c>
      <c r="H139" s="36">
        <v>108</v>
      </c>
      <c r="I139" s="35">
        <v>1663</v>
      </c>
      <c r="J139" s="36">
        <f>2420-1675</f>
        <v>745</v>
      </c>
      <c r="K139" s="35" t="s">
        <v>32</v>
      </c>
      <c r="L139" s="37">
        <v>67721</v>
      </c>
      <c r="M139" s="35">
        <v>7967</v>
      </c>
    </row>
    <row r="140" spans="3:13" ht="12.75">
      <c r="C140" s="34" t="s">
        <v>22</v>
      </c>
      <c r="D140" s="35">
        <f>33692-25650</f>
        <v>8042</v>
      </c>
      <c r="E140" s="36">
        <f>265420-200370</f>
        <v>65050</v>
      </c>
      <c r="F140" s="35">
        <f>4379-3425</f>
        <v>954</v>
      </c>
      <c r="G140" s="35">
        <v>88</v>
      </c>
      <c r="H140" s="36">
        <v>103</v>
      </c>
      <c r="I140" s="35">
        <f>5002-3315</f>
        <v>1687</v>
      </c>
      <c r="J140" s="36">
        <f>3046-2420</f>
        <v>626</v>
      </c>
      <c r="K140" s="35" t="s">
        <v>32</v>
      </c>
      <c r="L140" s="37">
        <v>68509</v>
      </c>
      <c r="M140" s="35">
        <v>8061</v>
      </c>
    </row>
    <row r="141" spans="3:13" ht="12.75">
      <c r="C141" s="34" t="s">
        <v>23</v>
      </c>
      <c r="D141" s="35">
        <f>46969-33692</f>
        <v>13277</v>
      </c>
      <c r="E141" s="36">
        <f>350841-265420</f>
        <v>85421</v>
      </c>
      <c r="F141" s="35">
        <f>724</f>
        <v>724</v>
      </c>
      <c r="G141" s="35">
        <v>170</v>
      </c>
      <c r="H141" s="36">
        <v>109</v>
      </c>
      <c r="I141" s="35">
        <f>1030</f>
        <v>1030</v>
      </c>
      <c r="J141" s="36">
        <f>3641-3046</f>
        <v>595</v>
      </c>
      <c r="K141" s="35" t="s">
        <v>32</v>
      </c>
      <c r="L141" s="37">
        <v>88049</v>
      </c>
      <c r="M141" s="35">
        <v>10358</v>
      </c>
    </row>
    <row r="142" spans="3:13" ht="12.75">
      <c r="C142" s="34" t="s">
        <v>24</v>
      </c>
      <c r="D142" s="35">
        <f>54447-46969</f>
        <v>7478</v>
      </c>
      <c r="E142" s="36">
        <f>411782-350841</f>
        <v>60941</v>
      </c>
      <c r="F142" s="35">
        <v>400</v>
      </c>
      <c r="G142" s="35">
        <v>678</v>
      </c>
      <c r="H142" s="36">
        <v>189</v>
      </c>
      <c r="I142" s="35">
        <f>8182-6032</f>
        <v>2150</v>
      </c>
      <c r="J142" s="36">
        <f>3826-3641</f>
        <v>185</v>
      </c>
      <c r="K142" s="35" t="s">
        <v>32</v>
      </c>
      <c r="L142" s="37">
        <v>64544</v>
      </c>
      <c r="M142" s="35">
        <v>7592</v>
      </c>
    </row>
    <row r="143" spans="3:13" ht="12.75">
      <c r="C143" s="34" t="s">
        <v>25</v>
      </c>
      <c r="D143" s="35">
        <f>62160-54447</f>
        <v>7713</v>
      </c>
      <c r="E143" s="36">
        <f>485526-411782</f>
        <v>73744</v>
      </c>
      <c r="F143" s="35">
        <v>461</v>
      </c>
      <c r="G143" s="35">
        <v>123</v>
      </c>
      <c r="H143" s="36">
        <v>186</v>
      </c>
      <c r="I143" s="35">
        <f>11016-8182</f>
        <v>2834</v>
      </c>
      <c r="J143" s="36">
        <f>4158-3826</f>
        <v>332</v>
      </c>
      <c r="K143" s="35" t="s">
        <v>32</v>
      </c>
      <c r="L143" s="37">
        <v>77691</v>
      </c>
      <c r="M143" s="35">
        <v>9139</v>
      </c>
    </row>
    <row r="144" spans="3:13" ht="12.75">
      <c r="C144" s="34" t="s">
        <v>26</v>
      </c>
      <c r="D144" s="35">
        <f>69855-62160</f>
        <v>7695</v>
      </c>
      <c r="E144" s="36">
        <f>522105-485526</f>
        <v>36579</v>
      </c>
      <c r="F144" s="35">
        <v>256</v>
      </c>
      <c r="G144" s="35">
        <v>210</v>
      </c>
      <c r="H144" s="36">
        <v>204</v>
      </c>
      <c r="I144" s="35">
        <f>16752-11016</f>
        <v>5736</v>
      </c>
      <c r="J144" s="36">
        <f>5199-4158</f>
        <v>1041</v>
      </c>
      <c r="K144" s="35"/>
      <c r="L144" s="37">
        <v>44024</v>
      </c>
      <c r="M144" s="35">
        <v>5179</v>
      </c>
    </row>
    <row r="145" spans="3:13" ht="12.75">
      <c r="C145" s="34" t="s">
        <v>27</v>
      </c>
      <c r="D145" s="35">
        <f>75919-69855</f>
        <v>6064</v>
      </c>
      <c r="E145" s="36">
        <f>574106-522105</f>
        <v>52001</v>
      </c>
      <c r="F145" s="35">
        <v>938</v>
      </c>
      <c r="G145" s="35">
        <v>326</v>
      </c>
      <c r="H145" s="36">
        <v>265</v>
      </c>
      <c r="I145" s="35">
        <f>17769-16752</f>
        <v>1017</v>
      </c>
      <c r="J145" s="36">
        <f>5707-5199</f>
        <v>508</v>
      </c>
      <c r="K145" s="35" t="s">
        <v>32</v>
      </c>
      <c r="L145" s="37">
        <v>55056</v>
      </c>
      <c r="M145" s="35">
        <v>5477</v>
      </c>
    </row>
    <row r="146" spans="3:13" ht="12.75">
      <c r="C146" s="34" t="s">
        <v>28</v>
      </c>
      <c r="D146" s="35">
        <f>82513-75919</f>
        <v>6594</v>
      </c>
      <c r="E146" s="36">
        <f>652646-574106</f>
        <v>78540</v>
      </c>
      <c r="F146" s="35">
        <v>238</v>
      </c>
      <c r="G146" s="35">
        <v>114</v>
      </c>
      <c r="H146" s="36">
        <v>114</v>
      </c>
      <c r="I146" s="35">
        <v>966</v>
      </c>
      <c r="J146" s="36">
        <f>6712-5707</f>
        <v>1005</v>
      </c>
      <c r="K146" s="35" t="s">
        <v>32</v>
      </c>
      <c r="L146" s="37">
        <v>80979</v>
      </c>
      <c r="M146" s="35">
        <v>9527</v>
      </c>
    </row>
    <row r="147" spans="3:13" ht="12.75">
      <c r="C147" s="34" t="s">
        <v>29</v>
      </c>
      <c r="D147" s="35">
        <f>90554-82513</f>
        <v>8041</v>
      </c>
      <c r="E147" s="36">
        <f>697161-652646</f>
        <v>44515</v>
      </c>
      <c r="F147" s="35">
        <v>250</v>
      </c>
      <c r="G147" s="35">
        <v>115</v>
      </c>
      <c r="H147" s="36">
        <v>87</v>
      </c>
      <c r="I147" s="35">
        <v>490</v>
      </c>
      <c r="J147" s="36">
        <f>6945-6712</f>
        <v>233</v>
      </c>
      <c r="K147" s="35" t="s">
        <v>32</v>
      </c>
      <c r="L147" s="37">
        <v>45690</v>
      </c>
      <c r="M147" s="35">
        <v>5374</v>
      </c>
    </row>
    <row r="148" spans="3:13" ht="13.5" thickBot="1">
      <c r="C148" s="34" t="s">
        <v>30</v>
      </c>
      <c r="D148" s="35">
        <f>99362-91554</f>
        <v>7808</v>
      </c>
      <c r="E148" s="36">
        <f>761341-697161</f>
        <v>64180</v>
      </c>
      <c r="F148" s="35">
        <v>208</v>
      </c>
      <c r="G148" s="35">
        <v>82</v>
      </c>
      <c r="H148" s="36">
        <v>215</v>
      </c>
      <c r="I148" s="35">
        <v>1894</v>
      </c>
      <c r="J148" s="36">
        <f>7158-6945</f>
        <v>213</v>
      </c>
      <c r="K148" s="35" t="s">
        <v>32</v>
      </c>
      <c r="L148" s="37">
        <v>66793</v>
      </c>
      <c r="M148" s="35">
        <v>7857</v>
      </c>
    </row>
    <row r="149" spans="3:13" ht="13.5" thickBot="1">
      <c r="C149" s="38" t="s">
        <v>33</v>
      </c>
      <c r="D149" s="39">
        <v>98362</v>
      </c>
      <c r="E149" s="40">
        <v>761341</v>
      </c>
      <c r="F149" s="39">
        <v>7854</v>
      </c>
      <c r="G149" s="39">
        <v>3402</v>
      </c>
      <c r="H149" s="40">
        <v>2546</v>
      </c>
      <c r="I149" s="39">
        <v>21119</v>
      </c>
      <c r="J149" s="40">
        <v>7158</v>
      </c>
      <c r="K149" s="39" t="s">
        <v>32</v>
      </c>
      <c r="L149" s="41">
        <v>803438</v>
      </c>
      <c r="M149" s="39">
        <v>93516</v>
      </c>
    </row>
    <row r="150" ht="13.5" thickBot="1"/>
    <row r="151" spans="2:13" ht="12.75">
      <c r="B151" s="4"/>
      <c r="C151" s="2"/>
      <c r="D151" s="3" t="s">
        <v>4</v>
      </c>
      <c r="E151" s="2" t="s">
        <v>9</v>
      </c>
      <c r="F151" s="4" t="s">
        <v>11</v>
      </c>
      <c r="G151" s="2" t="s">
        <v>12</v>
      </c>
      <c r="H151" s="2" t="s">
        <v>13</v>
      </c>
      <c r="I151" s="4" t="s">
        <v>14</v>
      </c>
      <c r="J151" s="2" t="s">
        <v>15</v>
      </c>
      <c r="K151" s="5"/>
      <c r="L151" s="5" t="s">
        <v>18</v>
      </c>
      <c r="M151" s="2" t="s">
        <v>18</v>
      </c>
    </row>
    <row r="152" spans="2:13" ht="13.5" thickBot="1">
      <c r="B152" s="9" t="s">
        <v>8</v>
      </c>
      <c r="C152" s="7" t="s">
        <v>1</v>
      </c>
      <c r="D152" s="8" t="s">
        <v>5</v>
      </c>
      <c r="E152" s="7" t="s">
        <v>10</v>
      </c>
      <c r="F152" s="9" t="s">
        <v>37</v>
      </c>
      <c r="G152" s="7" t="s">
        <v>37</v>
      </c>
      <c r="H152" s="7" t="s">
        <v>37</v>
      </c>
      <c r="I152" s="9" t="s">
        <v>37</v>
      </c>
      <c r="J152" s="7" t="s">
        <v>37</v>
      </c>
      <c r="K152" s="10" t="s">
        <v>16</v>
      </c>
      <c r="L152" s="10" t="s">
        <v>17</v>
      </c>
      <c r="M152" s="7" t="s">
        <v>36</v>
      </c>
    </row>
    <row r="153" ht="13.5" thickBot="1">
      <c r="B153" s="32">
        <v>1847</v>
      </c>
    </row>
    <row r="154" spans="2:13" ht="13.5" thickBot="1">
      <c r="B154" s="1" t="s">
        <v>49</v>
      </c>
      <c r="C154" s="42" t="s">
        <v>19</v>
      </c>
      <c r="D154" s="44">
        <v>4376</v>
      </c>
      <c r="E154" s="46"/>
      <c r="F154" s="46"/>
      <c r="G154" s="46"/>
      <c r="H154" s="46"/>
      <c r="I154" s="46"/>
      <c r="J154" s="46"/>
      <c r="K154" s="46"/>
      <c r="L154" s="46"/>
      <c r="M154" s="47"/>
    </row>
    <row r="155" spans="2:13" ht="12.75">
      <c r="B155" s="1" t="s">
        <v>50</v>
      </c>
      <c r="C155" s="2" t="s">
        <v>19</v>
      </c>
      <c r="D155" s="3">
        <f>10477-D154</f>
        <v>6101</v>
      </c>
      <c r="E155" s="4">
        <v>82691</v>
      </c>
      <c r="F155" s="2" t="s">
        <v>32</v>
      </c>
      <c r="G155" s="2" t="s">
        <v>32</v>
      </c>
      <c r="H155" s="2" t="s">
        <v>32</v>
      </c>
      <c r="I155" s="4" t="s">
        <v>32</v>
      </c>
      <c r="J155" s="5" t="s">
        <v>32</v>
      </c>
      <c r="K155" s="2" t="s">
        <v>32</v>
      </c>
      <c r="L155" s="4">
        <v>82691</v>
      </c>
      <c r="M155" s="2">
        <v>9728</v>
      </c>
    </row>
    <row r="156" spans="3:13" ht="12.75">
      <c r="C156" s="35" t="s">
        <v>20</v>
      </c>
      <c r="D156" s="36">
        <f>15697-10477</f>
        <v>5220</v>
      </c>
      <c r="E156" s="34">
        <f>105827-E155</f>
        <v>23136</v>
      </c>
      <c r="F156" s="35" t="s">
        <v>32</v>
      </c>
      <c r="G156" s="35" t="s">
        <v>32</v>
      </c>
      <c r="H156" s="35" t="s">
        <v>32</v>
      </c>
      <c r="I156" s="34" t="s">
        <v>32</v>
      </c>
      <c r="J156" s="37" t="s">
        <v>32</v>
      </c>
      <c r="K156" s="35" t="s">
        <v>32</v>
      </c>
      <c r="L156" s="34">
        <v>23136</v>
      </c>
      <c r="M156" s="35">
        <v>2721</v>
      </c>
    </row>
    <row r="157" spans="3:13" ht="12.75">
      <c r="C157" s="35" t="s">
        <v>21</v>
      </c>
      <c r="D157" s="36">
        <f>24152-15697</f>
        <v>8455</v>
      </c>
      <c r="E157" s="34">
        <f>188359-105827</f>
        <v>82532</v>
      </c>
      <c r="F157" s="35" t="s">
        <v>32</v>
      </c>
      <c r="G157" s="35" t="s">
        <v>32</v>
      </c>
      <c r="H157" s="35" t="s">
        <v>32</v>
      </c>
      <c r="I157" s="34" t="s">
        <v>32</v>
      </c>
      <c r="J157" s="37" t="s">
        <v>32</v>
      </c>
      <c r="K157" s="35">
        <v>275</v>
      </c>
      <c r="L157" s="34">
        <v>82532</v>
      </c>
      <c r="M157" s="35">
        <v>9709</v>
      </c>
    </row>
    <row r="158" spans="3:13" ht="12.75">
      <c r="C158" s="35" t="s">
        <v>22</v>
      </c>
      <c r="D158" s="36">
        <f>34812-24152</f>
        <v>10660</v>
      </c>
      <c r="E158" s="34">
        <f>258869-188359</f>
        <v>70510</v>
      </c>
      <c r="F158" s="35">
        <v>296</v>
      </c>
      <c r="G158" s="35">
        <v>82</v>
      </c>
      <c r="H158" s="35">
        <v>141</v>
      </c>
      <c r="I158" s="34">
        <v>265</v>
      </c>
      <c r="J158" s="37">
        <v>63</v>
      </c>
      <c r="K158" s="35" t="s">
        <v>32</v>
      </c>
      <c r="L158" s="34">
        <v>71358</v>
      </c>
      <c r="M158" s="35">
        <v>8694</v>
      </c>
    </row>
    <row r="159" spans="3:13" ht="12.75">
      <c r="C159" s="35" t="s">
        <v>23</v>
      </c>
      <c r="D159" s="36">
        <f>41984-34812</f>
        <v>7172</v>
      </c>
      <c r="E159" s="34">
        <f>338967-258869</f>
        <v>80098</v>
      </c>
      <c r="F159" s="35">
        <v>620</v>
      </c>
      <c r="G159" s="35">
        <v>130</v>
      </c>
      <c r="H159" s="35">
        <v>641</v>
      </c>
      <c r="I159" s="34">
        <v>183</v>
      </c>
      <c r="J159" s="37" t="s">
        <v>32</v>
      </c>
      <c r="K159" s="35" t="s">
        <v>32</v>
      </c>
      <c r="L159" s="34">
        <v>81673</v>
      </c>
      <c r="M159" s="35">
        <v>9608</v>
      </c>
    </row>
    <row r="160" spans="3:13" ht="12.75">
      <c r="C160" s="35" t="s">
        <v>24</v>
      </c>
      <c r="D160" s="36">
        <f>48332-41984</f>
        <v>6348</v>
      </c>
      <c r="E160" s="34">
        <f>388660-338967</f>
        <v>49693</v>
      </c>
      <c r="F160" s="35" t="s">
        <v>32</v>
      </c>
      <c r="G160" s="35" t="s">
        <v>32</v>
      </c>
      <c r="H160" s="35" t="s">
        <v>32</v>
      </c>
      <c r="I160" s="34" t="s">
        <v>32</v>
      </c>
      <c r="J160" s="37" t="s">
        <v>32</v>
      </c>
      <c r="K160" s="35" t="s">
        <v>32</v>
      </c>
      <c r="L160" s="34">
        <v>49693</v>
      </c>
      <c r="M160" s="35">
        <v>5442</v>
      </c>
    </row>
    <row r="161" spans="3:13" ht="12.75">
      <c r="C161" s="35" t="s">
        <v>25</v>
      </c>
      <c r="D161" s="36">
        <f>54537-48332</f>
        <v>6205</v>
      </c>
      <c r="E161" s="34">
        <f>432187-388660</f>
        <v>43527</v>
      </c>
      <c r="F161" s="35">
        <v>561</v>
      </c>
      <c r="G161" s="35">
        <v>300</v>
      </c>
      <c r="H161" s="35" t="s">
        <v>32</v>
      </c>
      <c r="I161" s="34">
        <v>1385</v>
      </c>
      <c r="J161" s="37">
        <f>549-63</f>
        <v>486</v>
      </c>
      <c r="K161" s="35">
        <f>412-275</f>
        <v>137</v>
      </c>
      <c r="L161" s="34">
        <v>46259</v>
      </c>
      <c r="M161" s="35">
        <v>5442</v>
      </c>
    </row>
    <row r="162" spans="3:13" ht="12.75">
      <c r="C162" s="35" t="s">
        <v>26</v>
      </c>
      <c r="D162" s="36">
        <f>60449-54537</f>
        <v>5912</v>
      </c>
      <c r="E162" s="34">
        <f>501357-432187</f>
        <v>69170</v>
      </c>
      <c r="F162" s="35">
        <v>422</v>
      </c>
      <c r="G162" s="35">
        <v>189</v>
      </c>
      <c r="H162" s="35" t="s">
        <v>32</v>
      </c>
      <c r="I162" s="34">
        <v>787</v>
      </c>
      <c r="J162" s="37">
        <f>855-549</f>
        <v>306</v>
      </c>
      <c r="K162" s="35" t="s">
        <v>32</v>
      </c>
      <c r="L162" s="34">
        <v>70875</v>
      </c>
      <c r="M162" s="35">
        <v>8338</v>
      </c>
    </row>
    <row r="163" spans="3:13" ht="12.75">
      <c r="C163" s="35" t="s">
        <v>27</v>
      </c>
      <c r="D163" s="36">
        <f>61402-60449</f>
        <v>953</v>
      </c>
      <c r="E163" s="34">
        <f>509136-501357</f>
        <v>7779</v>
      </c>
      <c r="F163" s="35">
        <v>341</v>
      </c>
      <c r="G163" s="35">
        <v>60</v>
      </c>
      <c r="H163" s="35">
        <v>319</v>
      </c>
      <c r="I163" s="34">
        <v>1100</v>
      </c>
      <c r="J163" s="37">
        <v>236</v>
      </c>
      <c r="K163" s="35" t="s">
        <v>32</v>
      </c>
      <c r="L163" s="34">
        <v>9836</v>
      </c>
      <c r="M163" s="35">
        <v>1157</v>
      </c>
    </row>
    <row r="164" spans="3:13" ht="12.75">
      <c r="C164" s="35" t="s">
        <v>28</v>
      </c>
      <c r="D164" s="36">
        <f>71098-61402</f>
        <v>9696</v>
      </c>
      <c r="E164" s="34">
        <f>590244-509136</f>
        <v>81108</v>
      </c>
      <c r="F164" s="35" t="s">
        <v>32</v>
      </c>
      <c r="G164" s="35" t="s">
        <v>32</v>
      </c>
      <c r="H164" s="35" t="s">
        <v>32</v>
      </c>
      <c r="I164" s="34" t="s">
        <v>32</v>
      </c>
      <c r="J164" s="37" t="s">
        <v>32</v>
      </c>
      <c r="K164" s="35">
        <f>620-412</f>
        <v>208</v>
      </c>
      <c r="L164" s="34">
        <v>81108</v>
      </c>
      <c r="M164" s="35">
        <v>9542</v>
      </c>
    </row>
    <row r="165" spans="3:13" ht="12.75">
      <c r="C165" s="35" t="s">
        <v>29</v>
      </c>
      <c r="D165" s="36">
        <f>78276-71098</f>
        <v>7178</v>
      </c>
      <c r="E165" s="34">
        <f>629780-590244</f>
        <v>39536</v>
      </c>
      <c r="F165" s="35">
        <v>275</v>
      </c>
      <c r="G165" s="35">
        <v>104</v>
      </c>
      <c r="H165" s="35">
        <v>286</v>
      </c>
      <c r="I165" s="34">
        <v>965</v>
      </c>
      <c r="J165" s="37">
        <v>73</v>
      </c>
      <c r="K165" s="35" t="s">
        <v>32</v>
      </c>
      <c r="L165" s="34">
        <v>41240</v>
      </c>
      <c r="M165" s="35">
        <v>4851</v>
      </c>
    </row>
    <row r="166" spans="3:13" ht="13.5" thickBot="1">
      <c r="C166" s="35" t="s">
        <v>30</v>
      </c>
      <c r="D166" s="36">
        <f>84143-78276</f>
        <v>5867</v>
      </c>
      <c r="E166" s="34">
        <f>687193-629780</f>
        <v>57413</v>
      </c>
      <c r="F166" s="35" t="s">
        <v>32</v>
      </c>
      <c r="G166" s="7" t="s">
        <v>32</v>
      </c>
      <c r="H166" s="35" t="s">
        <v>32</v>
      </c>
      <c r="I166" s="9" t="s">
        <v>32</v>
      </c>
      <c r="J166" s="10" t="s">
        <v>32</v>
      </c>
      <c r="K166" s="35" t="s">
        <v>32</v>
      </c>
      <c r="L166" s="9">
        <v>57413</v>
      </c>
      <c r="M166" s="7">
        <v>6754</v>
      </c>
    </row>
    <row r="167" spans="3:13" ht="13.5" thickBot="1">
      <c r="C167" s="39" t="s">
        <v>33</v>
      </c>
      <c r="D167" s="40">
        <v>84143</v>
      </c>
      <c r="E167" s="38">
        <v>687193</v>
      </c>
      <c r="F167" s="39">
        <v>2515</v>
      </c>
      <c r="G167" s="17">
        <v>865</v>
      </c>
      <c r="H167" s="39">
        <v>1387</v>
      </c>
      <c r="I167" s="38">
        <v>4685</v>
      </c>
      <c r="J167" s="41">
        <v>1164</v>
      </c>
      <c r="K167" s="39">
        <v>620</v>
      </c>
      <c r="L167" s="38">
        <v>697814</v>
      </c>
      <c r="M167" s="39">
        <v>81986</v>
      </c>
    </row>
    <row r="168" ht="13.5" thickBot="1"/>
    <row r="169" spans="2:13" ht="12.75">
      <c r="B169" s="4"/>
      <c r="C169" s="2"/>
      <c r="D169" s="3" t="s">
        <v>4</v>
      </c>
      <c r="E169" s="2" t="s">
        <v>9</v>
      </c>
      <c r="F169" s="4" t="s">
        <v>11</v>
      </c>
      <c r="G169" s="2" t="s">
        <v>12</v>
      </c>
      <c r="H169" s="2" t="s">
        <v>13</v>
      </c>
      <c r="I169" s="4" t="s">
        <v>14</v>
      </c>
      <c r="J169" s="2" t="s">
        <v>15</v>
      </c>
      <c r="K169" s="5"/>
      <c r="L169" s="5" t="s">
        <v>18</v>
      </c>
      <c r="M169" s="2" t="s">
        <v>18</v>
      </c>
    </row>
    <row r="170" spans="2:13" ht="13.5" thickBot="1">
      <c r="B170" s="9" t="s">
        <v>8</v>
      </c>
      <c r="C170" s="7" t="s">
        <v>1</v>
      </c>
      <c r="D170" s="8" t="s">
        <v>5</v>
      </c>
      <c r="E170" s="7" t="s">
        <v>10</v>
      </c>
      <c r="F170" s="9" t="s">
        <v>37</v>
      </c>
      <c r="G170" s="7" t="s">
        <v>37</v>
      </c>
      <c r="H170" s="7" t="s">
        <v>37</v>
      </c>
      <c r="I170" s="9" t="s">
        <v>37</v>
      </c>
      <c r="J170" s="7" t="s">
        <v>37</v>
      </c>
      <c r="K170" s="10" t="s">
        <v>16</v>
      </c>
      <c r="L170" s="10" t="s">
        <v>17</v>
      </c>
      <c r="M170" s="7" t="s">
        <v>36</v>
      </c>
    </row>
    <row r="171" ht="13.5" thickBot="1">
      <c r="B171" s="32">
        <v>1849</v>
      </c>
    </row>
    <row r="172" spans="2:13" ht="13.5" thickBot="1">
      <c r="B172" s="1" t="s">
        <v>49</v>
      </c>
      <c r="C172" s="42" t="s">
        <v>19</v>
      </c>
      <c r="D172" s="44">
        <v>2536</v>
      </c>
      <c r="E172" s="46"/>
      <c r="F172" s="46"/>
      <c r="G172" s="46"/>
      <c r="H172" s="46"/>
      <c r="I172" s="46"/>
      <c r="J172" s="46"/>
      <c r="K172" s="46"/>
      <c r="L172" s="46"/>
      <c r="M172" s="47"/>
    </row>
    <row r="173" spans="2:13" ht="12.75">
      <c r="B173" s="1" t="s">
        <v>50</v>
      </c>
      <c r="C173" s="2" t="s">
        <v>19</v>
      </c>
      <c r="D173" s="3">
        <f>8994-D172</f>
        <v>6458</v>
      </c>
      <c r="E173" s="2">
        <v>60151</v>
      </c>
      <c r="F173" s="2" t="s">
        <v>32</v>
      </c>
      <c r="G173" s="3" t="s">
        <v>32</v>
      </c>
      <c r="H173" s="2" t="s">
        <v>32</v>
      </c>
      <c r="I173" s="4" t="s">
        <v>32</v>
      </c>
      <c r="J173" s="2" t="s">
        <v>32</v>
      </c>
      <c r="K173" s="5" t="s">
        <v>32</v>
      </c>
      <c r="L173" s="2">
        <v>60451</v>
      </c>
      <c r="M173" s="2">
        <v>7111</v>
      </c>
    </row>
    <row r="174" spans="2:13" ht="12.75">
      <c r="B174" s="33"/>
      <c r="C174" s="35" t="s">
        <v>20</v>
      </c>
      <c r="D174" s="36">
        <f>13577-8994</f>
        <v>4583</v>
      </c>
      <c r="E174" s="35">
        <f>97672-E173</f>
        <v>37521</v>
      </c>
      <c r="F174" s="35" t="s">
        <v>32</v>
      </c>
      <c r="G174" s="36" t="s">
        <v>32</v>
      </c>
      <c r="H174" s="35" t="s">
        <v>32</v>
      </c>
      <c r="I174" s="34" t="s">
        <v>32</v>
      </c>
      <c r="J174" s="35" t="s">
        <v>32</v>
      </c>
      <c r="K174" s="37" t="s">
        <v>32</v>
      </c>
      <c r="L174" s="35">
        <v>37221</v>
      </c>
      <c r="M174" s="35">
        <v>4378</v>
      </c>
    </row>
    <row r="175" spans="2:13" ht="12.75">
      <c r="B175" s="33"/>
      <c r="C175" s="35" t="s">
        <v>21</v>
      </c>
      <c r="D175" s="36">
        <f>20178-13577</f>
        <v>6601</v>
      </c>
      <c r="E175" s="35">
        <f>136356-97672</f>
        <v>38684</v>
      </c>
      <c r="F175" s="35" t="s">
        <v>32</v>
      </c>
      <c r="G175" s="36" t="s">
        <v>32</v>
      </c>
      <c r="H175" s="35" t="s">
        <v>32</v>
      </c>
      <c r="I175" s="34" t="s">
        <v>32</v>
      </c>
      <c r="J175" s="35" t="s">
        <v>32</v>
      </c>
      <c r="K175" s="37" t="s">
        <v>32</v>
      </c>
      <c r="L175" s="35">
        <v>38681</v>
      </c>
      <c r="M175" s="35">
        <v>4551</v>
      </c>
    </row>
    <row r="176" spans="2:13" ht="12.75">
      <c r="B176" s="33"/>
      <c r="C176" s="35" t="s">
        <v>22</v>
      </c>
      <c r="D176" s="36">
        <f>23998-20178</f>
        <v>3820</v>
      </c>
      <c r="E176" s="35">
        <f>193233-136356</f>
        <v>56877</v>
      </c>
      <c r="F176" s="35" t="s">
        <v>32</v>
      </c>
      <c r="G176" s="36" t="s">
        <v>32</v>
      </c>
      <c r="H176" s="35" t="s">
        <v>32</v>
      </c>
      <c r="I176" s="34" t="s">
        <v>32</v>
      </c>
      <c r="J176" s="35" t="s">
        <v>32</v>
      </c>
      <c r="K176" s="37" t="s">
        <v>32</v>
      </c>
      <c r="L176" s="35">
        <v>58826</v>
      </c>
      <c r="M176" s="35">
        <v>6920</v>
      </c>
    </row>
    <row r="177" spans="2:13" ht="12.75">
      <c r="B177" s="33"/>
      <c r="C177" s="35" t="s">
        <v>23</v>
      </c>
      <c r="D177" s="36">
        <f>32553-23998</f>
        <v>8555</v>
      </c>
      <c r="E177" s="35">
        <f>227013-195182</f>
        <v>31831</v>
      </c>
      <c r="F177" s="35" t="s">
        <v>32</v>
      </c>
      <c r="G177" s="36" t="s">
        <v>32</v>
      </c>
      <c r="H177" s="35" t="s">
        <v>32</v>
      </c>
      <c r="I177" s="34" t="s">
        <v>32</v>
      </c>
      <c r="J177" s="35" t="s">
        <v>32</v>
      </c>
      <c r="K177" s="37" t="s">
        <v>32</v>
      </c>
      <c r="L177" s="35">
        <v>31831</v>
      </c>
      <c r="M177" s="35">
        <v>3744</v>
      </c>
    </row>
    <row r="178" spans="2:13" ht="12.75">
      <c r="B178" s="33"/>
      <c r="C178" s="35" t="s">
        <v>24</v>
      </c>
      <c r="D178" s="36">
        <f>35515-32553</f>
        <v>2962</v>
      </c>
      <c r="E178" s="35">
        <f>291160-227013</f>
        <v>64147</v>
      </c>
      <c r="F178" s="35" t="s">
        <v>32</v>
      </c>
      <c r="G178" s="36" t="s">
        <v>32</v>
      </c>
      <c r="H178" s="35" t="s">
        <v>32</v>
      </c>
      <c r="I178" s="34" t="s">
        <v>32</v>
      </c>
      <c r="J178" s="35" t="s">
        <v>32</v>
      </c>
      <c r="K178" s="37" t="s">
        <v>32</v>
      </c>
      <c r="L178" s="35">
        <v>64117</v>
      </c>
      <c r="M178" s="35">
        <v>7516</v>
      </c>
    </row>
    <row r="179" spans="2:13" ht="12.75">
      <c r="B179" s="33"/>
      <c r="C179" s="35" t="s">
        <v>25</v>
      </c>
      <c r="D179" s="36" t="s">
        <v>34</v>
      </c>
      <c r="E179" s="35" t="s">
        <v>34</v>
      </c>
      <c r="F179" s="35" t="s">
        <v>32</v>
      </c>
      <c r="G179" s="36" t="s">
        <v>32</v>
      </c>
      <c r="H179" s="35" t="s">
        <v>32</v>
      </c>
      <c r="I179" s="34" t="s">
        <v>32</v>
      </c>
      <c r="J179" s="35" t="s">
        <v>32</v>
      </c>
      <c r="K179" s="37" t="s">
        <v>32</v>
      </c>
      <c r="L179" s="35" t="s">
        <v>34</v>
      </c>
      <c r="M179" s="35" t="s">
        <v>34</v>
      </c>
    </row>
    <row r="180" spans="2:13" ht="12.75">
      <c r="B180" s="33"/>
      <c r="C180" s="35" t="s">
        <v>26</v>
      </c>
      <c r="D180" s="36" t="s">
        <v>34</v>
      </c>
      <c r="E180" s="35" t="s">
        <v>34</v>
      </c>
      <c r="F180" s="35" t="s">
        <v>32</v>
      </c>
      <c r="G180" s="36" t="s">
        <v>32</v>
      </c>
      <c r="H180" s="35" t="s">
        <v>32</v>
      </c>
      <c r="I180" s="34" t="s">
        <v>32</v>
      </c>
      <c r="J180" s="35" t="s">
        <v>32</v>
      </c>
      <c r="K180" s="37" t="s">
        <v>32</v>
      </c>
      <c r="L180" s="35" t="s">
        <v>34</v>
      </c>
      <c r="M180" s="35" t="s">
        <v>34</v>
      </c>
    </row>
    <row r="181" spans="2:13" ht="12.75">
      <c r="B181" s="33"/>
      <c r="C181" s="35" t="s">
        <v>27</v>
      </c>
      <c r="D181" s="36" t="s">
        <v>34</v>
      </c>
      <c r="E181" s="35" t="s">
        <v>34</v>
      </c>
      <c r="F181" s="35" t="s">
        <v>32</v>
      </c>
      <c r="G181" s="36" t="s">
        <v>32</v>
      </c>
      <c r="H181" s="35" t="s">
        <v>32</v>
      </c>
      <c r="I181" s="34" t="s">
        <v>32</v>
      </c>
      <c r="J181" s="35" t="s">
        <v>32</v>
      </c>
      <c r="K181" s="37" t="s">
        <v>32</v>
      </c>
      <c r="L181" s="35" t="s">
        <v>34</v>
      </c>
      <c r="M181" s="35" t="s">
        <v>34</v>
      </c>
    </row>
    <row r="182" spans="2:13" ht="12.75">
      <c r="B182" s="33"/>
      <c r="C182" s="35" t="s">
        <v>28</v>
      </c>
      <c r="D182" s="36" t="s">
        <v>34</v>
      </c>
      <c r="E182" s="35" t="s">
        <v>34</v>
      </c>
      <c r="F182" s="35" t="s">
        <v>32</v>
      </c>
      <c r="G182" s="36" t="s">
        <v>32</v>
      </c>
      <c r="H182" s="35" t="s">
        <v>32</v>
      </c>
      <c r="I182" s="34" t="s">
        <v>32</v>
      </c>
      <c r="J182" s="35" t="s">
        <v>32</v>
      </c>
      <c r="K182" s="37" t="s">
        <v>32</v>
      </c>
      <c r="L182" s="35" t="s">
        <v>34</v>
      </c>
      <c r="M182" s="35" t="s">
        <v>34</v>
      </c>
    </row>
    <row r="183" spans="2:13" ht="12.75">
      <c r="B183" s="33"/>
      <c r="C183" s="35" t="s">
        <v>29</v>
      </c>
      <c r="D183" s="36" t="s">
        <v>34</v>
      </c>
      <c r="E183" s="35" t="s">
        <v>34</v>
      </c>
      <c r="F183" s="35" t="s">
        <v>32</v>
      </c>
      <c r="G183" s="36" t="s">
        <v>32</v>
      </c>
      <c r="H183" s="35" t="s">
        <v>32</v>
      </c>
      <c r="I183" s="34" t="s">
        <v>32</v>
      </c>
      <c r="J183" s="35" t="s">
        <v>32</v>
      </c>
      <c r="K183" s="37" t="s">
        <v>32</v>
      </c>
      <c r="L183" s="35" t="s">
        <v>34</v>
      </c>
      <c r="M183" s="35" t="s">
        <v>34</v>
      </c>
    </row>
    <row r="184" spans="2:13" ht="13.5" thickBot="1">
      <c r="B184" s="33"/>
      <c r="C184" s="35" t="s">
        <v>30</v>
      </c>
      <c r="D184" s="36" t="s">
        <v>34</v>
      </c>
      <c r="E184" s="35" t="s">
        <v>34</v>
      </c>
      <c r="F184" s="35" t="s">
        <v>32</v>
      </c>
      <c r="G184" s="36" t="s">
        <v>32</v>
      </c>
      <c r="H184" s="35" t="s">
        <v>32</v>
      </c>
      <c r="I184" s="34" t="s">
        <v>32</v>
      </c>
      <c r="J184" s="35" t="s">
        <v>32</v>
      </c>
      <c r="K184" s="37" t="s">
        <v>32</v>
      </c>
      <c r="L184" s="35" t="s">
        <v>34</v>
      </c>
      <c r="M184" s="35" t="s">
        <v>34</v>
      </c>
    </row>
    <row r="185" spans="3:13" ht="13.5" thickBot="1">
      <c r="C185" s="39" t="s">
        <v>33</v>
      </c>
      <c r="D185" s="40" t="s">
        <v>34</v>
      </c>
      <c r="E185" s="39" t="s">
        <v>34</v>
      </c>
      <c r="F185" s="39" t="s">
        <v>32</v>
      </c>
      <c r="G185" s="40" t="s">
        <v>32</v>
      </c>
      <c r="H185" s="39" t="s">
        <v>32</v>
      </c>
      <c r="I185" s="38" t="s">
        <v>32</v>
      </c>
      <c r="J185" s="39" t="s">
        <v>32</v>
      </c>
      <c r="K185" s="41" t="s">
        <v>32</v>
      </c>
      <c r="L185" s="39" t="s">
        <v>34</v>
      </c>
      <c r="M185" s="39" t="s">
        <v>34</v>
      </c>
    </row>
  </sheetData>
  <sheetProtection password="EAC5" sheet="1" objects="1" scenarios="1" selectLockedCells="1" selectUnlockedCells="1"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16384" width="11.421875" style="1" customWidth="1"/>
  </cols>
  <sheetData>
    <row r="2" ht="13.5" thickBot="1"/>
    <row r="3" ht="12.75">
      <c r="B3" s="2" t="s">
        <v>42</v>
      </c>
    </row>
    <row r="4" ht="13.5" thickBot="1">
      <c r="B4" s="6"/>
    </row>
    <row r="5" ht="13.5" thickBot="1"/>
    <row r="6" spans="2:9" ht="12.75">
      <c r="B6" s="11">
        <v>1</v>
      </c>
      <c r="C6" s="20" t="s">
        <v>44</v>
      </c>
      <c r="D6" s="21"/>
      <c r="E6" s="21"/>
      <c r="F6" s="21"/>
      <c r="G6" s="21"/>
      <c r="H6" s="21"/>
      <c r="I6" s="22"/>
    </row>
    <row r="7" spans="2:9" ht="13.5" thickBot="1">
      <c r="B7" s="7"/>
      <c r="C7" s="23" t="s">
        <v>43</v>
      </c>
      <c r="D7" s="24"/>
      <c r="E7" s="24"/>
      <c r="F7" s="24"/>
      <c r="G7" s="24"/>
      <c r="H7" s="24"/>
      <c r="I7" s="25"/>
    </row>
    <row r="8" ht="13.5" thickBot="1"/>
    <row r="9" spans="2:9" ht="12.75">
      <c r="B9" s="11">
        <v>2</v>
      </c>
      <c r="C9" s="26" t="s">
        <v>45</v>
      </c>
      <c r="D9" s="27"/>
      <c r="E9" s="27"/>
      <c r="F9" s="27"/>
      <c r="G9" s="27"/>
      <c r="H9" s="27"/>
      <c r="I9" s="28"/>
    </row>
    <row r="10" spans="2:9" ht="13.5" thickBot="1">
      <c r="B10" s="7"/>
      <c r="C10" s="29" t="s">
        <v>46</v>
      </c>
      <c r="D10" s="30"/>
      <c r="E10" s="30"/>
      <c r="F10" s="30"/>
      <c r="G10" s="30"/>
      <c r="H10" s="30"/>
      <c r="I10" s="31"/>
    </row>
    <row r="11" ht="13.5" thickBot="1"/>
    <row r="12" spans="2:9" ht="12.75">
      <c r="B12" s="11">
        <v>3</v>
      </c>
      <c r="C12" s="20" t="s">
        <v>47</v>
      </c>
      <c r="D12" s="21"/>
      <c r="E12" s="21"/>
      <c r="F12" s="21"/>
      <c r="G12" s="21"/>
      <c r="H12" s="21"/>
      <c r="I12" s="22"/>
    </row>
    <row r="13" spans="2:9" ht="13.5" thickBot="1">
      <c r="B13" s="7"/>
      <c r="C13" s="23" t="s">
        <v>48</v>
      </c>
      <c r="D13" s="24"/>
      <c r="E13" s="24"/>
      <c r="F13" s="24"/>
      <c r="G13" s="24"/>
      <c r="H13" s="24"/>
      <c r="I13" s="25"/>
    </row>
    <row r="14" ht="13.5" thickBot="1"/>
    <row r="15" spans="2:9" ht="12.75">
      <c r="B15" s="11">
        <v>4</v>
      </c>
      <c r="C15" s="20" t="s">
        <v>52</v>
      </c>
      <c r="D15" s="21"/>
      <c r="E15" s="21"/>
      <c r="F15" s="21"/>
      <c r="G15" s="21"/>
      <c r="H15" s="21"/>
      <c r="I15" s="22"/>
    </row>
    <row r="16" spans="2:9" ht="13.5" thickBot="1">
      <c r="B16" s="6"/>
      <c r="C16" s="23"/>
      <c r="D16" s="24"/>
      <c r="E16" s="24"/>
      <c r="F16" s="24"/>
      <c r="G16" s="24"/>
      <c r="H16" s="24"/>
      <c r="I16" s="25"/>
    </row>
  </sheetData>
  <sheetProtection password="EAC5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1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3" width="13.00390625" style="1" customWidth="1"/>
    <col min="4" max="4" width="11.00390625" style="1" customWidth="1"/>
    <col min="5" max="5" width="13.8515625" style="1" customWidth="1"/>
    <col min="6" max="6" width="13.00390625" style="1" customWidth="1"/>
    <col min="7" max="7" width="12.57421875" style="1" customWidth="1"/>
    <col min="8" max="8" width="11.421875" style="1" customWidth="1"/>
    <col min="9" max="10" width="12.7109375" style="1" customWidth="1"/>
    <col min="11" max="11" width="10.7109375" style="1" customWidth="1"/>
    <col min="12" max="12" width="19.28125" style="1" customWidth="1"/>
    <col min="13" max="13" width="20.7109375" style="1" customWidth="1"/>
    <col min="14" max="14" width="19.421875" style="1" customWidth="1"/>
    <col min="15" max="15" width="10.57421875" style="1" customWidth="1"/>
    <col min="16" max="16" width="20.28125" style="1" customWidth="1"/>
    <col min="17" max="17" width="19.421875" style="1" customWidth="1"/>
    <col min="18" max="16384" width="11.421875" style="1" customWidth="1"/>
  </cols>
  <sheetData>
    <row r="2" ht="13.5" thickBot="1"/>
    <row r="3" spans="2:12" ht="12.75">
      <c r="B3" s="2" t="s">
        <v>0</v>
      </c>
      <c r="C3" s="2" t="s">
        <v>2</v>
      </c>
      <c r="D3" s="3" t="s">
        <v>38</v>
      </c>
      <c r="E3" s="2" t="s">
        <v>9</v>
      </c>
      <c r="F3" s="4" t="s">
        <v>11</v>
      </c>
      <c r="G3" s="2" t="s">
        <v>12</v>
      </c>
      <c r="H3" s="2" t="s">
        <v>13</v>
      </c>
      <c r="I3" s="4" t="s">
        <v>14</v>
      </c>
      <c r="J3" s="2" t="s">
        <v>15</v>
      </c>
      <c r="K3" s="5"/>
      <c r="L3" s="5" t="s">
        <v>18</v>
      </c>
    </row>
    <row r="4" spans="2:12" ht="13.5" thickBot="1">
      <c r="B4" s="6"/>
      <c r="C4" s="7" t="s">
        <v>40</v>
      </c>
      <c r="D4" s="8" t="s">
        <v>39</v>
      </c>
      <c r="E4" s="7" t="s">
        <v>10</v>
      </c>
      <c r="F4" s="9" t="s">
        <v>37</v>
      </c>
      <c r="G4" s="7" t="s">
        <v>37</v>
      </c>
      <c r="H4" s="7" t="s">
        <v>37</v>
      </c>
      <c r="I4" s="9" t="s">
        <v>37</v>
      </c>
      <c r="J4" s="7" t="s">
        <v>37</v>
      </c>
      <c r="K4" s="10" t="s">
        <v>16</v>
      </c>
      <c r="L4" s="10" t="s">
        <v>17</v>
      </c>
    </row>
    <row r="5" ht="13.5" thickBot="1"/>
    <row r="6" spans="2:12" ht="12.75">
      <c r="B6" s="11">
        <v>1822</v>
      </c>
      <c r="C6" s="12" t="s">
        <v>41</v>
      </c>
      <c r="D6" s="11" t="s">
        <v>41</v>
      </c>
      <c r="E6" s="13" t="s">
        <v>41</v>
      </c>
      <c r="F6" s="11" t="s">
        <v>32</v>
      </c>
      <c r="G6" s="13" t="s">
        <v>32</v>
      </c>
      <c r="H6" s="11" t="s">
        <v>32</v>
      </c>
      <c r="I6" s="13" t="s">
        <v>32</v>
      </c>
      <c r="J6" s="11" t="s">
        <v>32</v>
      </c>
      <c r="K6" s="13" t="s">
        <v>32</v>
      </c>
      <c r="L6" s="11" t="s">
        <v>41</v>
      </c>
    </row>
    <row r="7" spans="2:12" ht="12.75">
      <c r="B7" s="14">
        <v>1837</v>
      </c>
      <c r="C7" s="15" t="s">
        <v>41</v>
      </c>
      <c r="D7" s="14" t="s">
        <v>41</v>
      </c>
      <c r="E7" s="16" t="s">
        <v>41</v>
      </c>
      <c r="F7" s="14" t="s">
        <v>32</v>
      </c>
      <c r="G7" s="16" t="s">
        <v>32</v>
      </c>
      <c r="H7" s="14" t="s">
        <v>32</v>
      </c>
      <c r="I7" s="16" t="s">
        <v>32</v>
      </c>
      <c r="J7" s="14" t="s">
        <v>32</v>
      </c>
      <c r="K7" s="16" t="s">
        <v>32</v>
      </c>
      <c r="L7" s="14" t="s">
        <v>41</v>
      </c>
    </row>
    <row r="8" spans="2:12" ht="12.75">
      <c r="B8" s="14">
        <v>1838</v>
      </c>
      <c r="C8" s="15" t="s">
        <v>41</v>
      </c>
      <c r="D8" s="14" t="s">
        <v>41</v>
      </c>
      <c r="E8" s="16" t="s">
        <v>41</v>
      </c>
      <c r="F8" s="14" t="s">
        <v>41</v>
      </c>
      <c r="G8" s="16" t="s">
        <v>41</v>
      </c>
      <c r="H8" s="14" t="s">
        <v>41</v>
      </c>
      <c r="I8" s="16" t="s">
        <v>32</v>
      </c>
      <c r="J8" s="14" t="s">
        <v>32</v>
      </c>
      <c r="K8" s="16" t="s">
        <v>41</v>
      </c>
      <c r="L8" s="14" t="s">
        <v>41</v>
      </c>
    </row>
    <row r="9" spans="2:12" ht="12.75">
      <c r="B9" s="14">
        <v>1839</v>
      </c>
      <c r="C9" s="15" t="s">
        <v>41</v>
      </c>
      <c r="D9" s="14" t="s">
        <v>41</v>
      </c>
      <c r="E9" s="16" t="s">
        <v>41</v>
      </c>
      <c r="F9" s="14" t="s">
        <v>32</v>
      </c>
      <c r="G9" s="16" t="s">
        <v>41</v>
      </c>
      <c r="H9" s="14" t="s">
        <v>41</v>
      </c>
      <c r="I9" s="16" t="s">
        <v>32</v>
      </c>
      <c r="J9" s="14" t="s">
        <v>32</v>
      </c>
      <c r="K9" s="16" t="s">
        <v>41</v>
      </c>
      <c r="L9" s="14" t="s">
        <v>41</v>
      </c>
    </row>
    <row r="10" spans="2:12" ht="12.75">
      <c r="B10" s="14">
        <v>1840</v>
      </c>
      <c r="C10" s="15" t="s">
        <v>41</v>
      </c>
      <c r="D10" s="14" t="s">
        <v>41</v>
      </c>
      <c r="E10" s="16" t="s">
        <v>41</v>
      </c>
      <c r="F10" s="14" t="s">
        <v>41</v>
      </c>
      <c r="G10" s="16" t="s">
        <v>41</v>
      </c>
      <c r="H10" s="14" t="s">
        <v>41</v>
      </c>
      <c r="I10" s="16" t="s">
        <v>32</v>
      </c>
      <c r="J10" s="14" t="s">
        <v>32</v>
      </c>
      <c r="K10" s="16" t="s">
        <v>41</v>
      </c>
      <c r="L10" s="14" t="s">
        <v>41</v>
      </c>
    </row>
    <row r="11" spans="2:12" ht="12.75">
      <c r="B11" s="14">
        <v>1841</v>
      </c>
      <c r="C11" s="15" t="s">
        <v>41</v>
      </c>
      <c r="D11" s="14" t="s">
        <v>41</v>
      </c>
      <c r="E11" s="16" t="s">
        <v>41</v>
      </c>
      <c r="F11" s="14" t="s">
        <v>41</v>
      </c>
      <c r="G11" s="16" t="s">
        <v>41</v>
      </c>
      <c r="H11" s="14" t="s">
        <v>41</v>
      </c>
      <c r="I11" s="16" t="s">
        <v>32</v>
      </c>
      <c r="J11" s="14" t="s">
        <v>32</v>
      </c>
      <c r="K11" s="16" t="s">
        <v>41</v>
      </c>
      <c r="L11" s="14" t="s">
        <v>41</v>
      </c>
    </row>
    <row r="12" spans="2:12" ht="12.75">
      <c r="B12" s="14">
        <v>1842</v>
      </c>
      <c r="C12" s="15" t="s">
        <v>41</v>
      </c>
      <c r="D12" s="14" t="s">
        <v>41</v>
      </c>
      <c r="E12" s="16" t="s">
        <v>41</v>
      </c>
      <c r="F12" s="14" t="s">
        <v>41</v>
      </c>
      <c r="G12" s="16" t="s">
        <v>41</v>
      </c>
      <c r="H12" s="14" t="s">
        <v>41</v>
      </c>
      <c r="I12" s="16" t="s">
        <v>32</v>
      </c>
      <c r="J12" s="14" t="s">
        <v>41</v>
      </c>
      <c r="K12" s="16" t="s">
        <v>41</v>
      </c>
      <c r="L12" s="14" t="s">
        <v>41</v>
      </c>
    </row>
    <row r="13" spans="2:12" ht="12.75">
      <c r="B13" s="14">
        <v>1843</v>
      </c>
      <c r="C13" s="15" t="s">
        <v>41</v>
      </c>
      <c r="D13" s="14" t="s">
        <v>41</v>
      </c>
      <c r="E13" s="16" t="s">
        <v>41</v>
      </c>
      <c r="F13" s="14" t="s">
        <v>41</v>
      </c>
      <c r="G13" s="16" t="s">
        <v>41</v>
      </c>
      <c r="H13" s="14" t="s">
        <v>41</v>
      </c>
      <c r="I13" s="16" t="s">
        <v>41</v>
      </c>
      <c r="J13" s="14" t="s">
        <v>41</v>
      </c>
      <c r="K13" s="16" t="s">
        <v>41</v>
      </c>
      <c r="L13" s="14" t="s">
        <v>41</v>
      </c>
    </row>
    <row r="14" spans="2:12" ht="12.75">
      <c r="B14" s="14">
        <v>1845</v>
      </c>
      <c r="C14" s="15" t="s">
        <v>41</v>
      </c>
      <c r="D14" s="14" t="s">
        <v>41</v>
      </c>
      <c r="E14" s="16" t="s">
        <v>41</v>
      </c>
      <c r="F14" s="14" t="s">
        <v>41</v>
      </c>
      <c r="G14" s="16" t="s">
        <v>41</v>
      </c>
      <c r="H14" s="14" t="s">
        <v>41</v>
      </c>
      <c r="I14" s="16" t="s">
        <v>41</v>
      </c>
      <c r="J14" s="14" t="s">
        <v>41</v>
      </c>
      <c r="K14" s="16" t="s">
        <v>32</v>
      </c>
      <c r="L14" s="14" t="s">
        <v>41</v>
      </c>
    </row>
    <row r="15" spans="2:12" ht="12.75">
      <c r="B15" s="14">
        <v>1847</v>
      </c>
      <c r="C15" s="15" t="s">
        <v>41</v>
      </c>
      <c r="D15" s="14" t="s">
        <v>41</v>
      </c>
      <c r="E15" s="16" t="s">
        <v>41</v>
      </c>
      <c r="F15" s="14" t="s">
        <v>41</v>
      </c>
      <c r="G15" s="16" t="s">
        <v>41</v>
      </c>
      <c r="H15" s="14" t="s">
        <v>41</v>
      </c>
      <c r="I15" s="16" t="s">
        <v>41</v>
      </c>
      <c r="J15" s="14" t="s">
        <v>41</v>
      </c>
      <c r="K15" s="16" t="s">
        <v>32</v>
      </c>
      <c r="L15" s="14" t="s">
        <v>41</v>
      </c>
    </row>
    <row r="16" spans="2:12" ht="13.5" thickBot="1">
      <c r="B16" s="17">
        <v>1849</v>
      </c>
      <c r="C16" s="18" t="s">
        <v>41</v>
      </c>
      <c r="D16" s="17" t="s">
        <v>41</v>
      </c>
      <c r="E16" s="19" t="s">
        <v>41</v>
      </c>
      <c r="F16" s="17" t="s">
        <v>32</v>
      </c>
      <c r="G16" s="19" t="s">
        <v>32</v>
      </c>
      <c r="H16" s="17" t="s">
        <v>32</v>
      </c>
      <c r="I16" s="19" t="s">
        <v>32</v>
      </c>
      <c r="J16" s="17" t="s">
        <v>32</v>
      </c>
      <c r="K16" s="19" t="s">
        <v>32</v>
      </c>
      <c r="L16" s="17" t="s">
        <v>41</v>
      </c>
    </row>
  </sheetData>
  <sheetProtection password="EAC5" sheet="1" objects="1" scenarios="1" selectLockedCells="1" selectUnlockedCells="1"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Posgrado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Computo</dc:creator>
  <cp:keywords/>
  <dc:description/>
  <cp:lastModifiedBy>Ibarra</cp:lastModifiedBy>
  <cp:lastPrinted>2004-08-24T04:00:46Z</cp:lastPrinted>
  <dcterms:created xsi:type="dcterms:W3CDTF">2004-07-28T16:37:01Z</dcterms:created>
  <dcterms:modified xsi:type="dcterms:W3CDTF">2005-11-18T18:32:03Z</dcterms:modified>
  <cp:category/>
  <cp:version/>
  <cp:contentType/>
  <cp:contentStatus/>
</cp:coreProperties>
</file>